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Y13D2b57GsAAcvbpZI2x/aYh7h7rqVkxPjjqGSgMe7xy28TZezv3W+5KVfGEDkwQS2g6+j9V7/loh20Y8LKs3g==" workbookSaltValue="IeC5c0+d8g+M+N0z01Q5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H28" i="2"/>
  <c r="R13" i="17"/>
  <c r="P13" i="14"/>
  <c r="R13" i="14" s="1"/>
  <c r="BG17" i="13"/>
  <c r="R8" i="9"/>
  <c r="BH30" i="16" s="1"/>
  <c r="T17" i="11"/>
  <c r="AA10" i="16"/>
  <c r="X21" i="17"/>
  <c r="AA16" i="16"/>
  <c r="AA20" i="16"/>
  <c r="X18" i="17"/>
  <c r="AA9" i="16"/>
  <c r="X22" i="20"/>
  <c r="U10" i="21"/>
  <c r="X17" i="20"/>
  <c r="V21" i="16"/>
  <c r="AZ12" i="11"/>
  <c r="AZ20" i="11"/>
  <c r="AZ22" i="11"/>
  <c r="AZ28" i="11"/>
  <c r="L11" i="2"/>
  <c r="L13" i="2"/>
  <c r="L19" i="2"/>
  <c r="L21" i="2"/>
  <c r="L25" i="2"/>
  <c r="L29" i="2"/>
  <c r="X9" i="16"/>
  <c r="X31" i="16" s="1"/>
  <c r="X12"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BF23" i="13"/>
  <c r="K9" i="12"/>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P13" i="11" s="1"/>
  <c r="BL25" i="11"/>
  <c r="Q25" i="11" s="1"/>
  <c r="BH18" i="11"/>
  <c r="BG19" i="11"/>
  <c r="BH10"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Z9" i="11"/>
  <c r="BL29" i="11"/>
  <c r="Q29" i="11" s="1"/>
  <c r="T16" i="16"/>
  <c r="BW20" i="20"/>
  <c r="BV19" i="16"/>
  <c r="BV18" i="16"/>
  <c r="BW18" i="20"/>
  <c r="BV12" i="16"/>
  <c r="BW12" i="20"/>
  <c r="BV16" i="16"/>
  <c r="BW16" i="20"/>
  <c r="U10" i="17"/>
  <c r="BV10" i="16"/>
  <c r="BU18" i="17"/>
  <c r="V12" i="16"/>
  <c r="BU12" i="17"/>
  <c r="S28" i="17"/>
  <c r="T16" i="11"/>
  <c r="Q18" i="17"/>
  <c r="AQ10" i="21"/>
  <c r="AO29" i="17"/>
  <c r="S10" i="17"/>
  <c r="BI29" i="11"/>
  <c r="BG17" i="11"/>
  <c r="BM21" i="11"/>
  <c r="AO25" i="17"/>
  <c r="BJ17" i="11"/>
  <c r="BL17" i="11"/>
  <c r="BH22" i="11"/>
  <c r="X12" i="17"/>
  <c r="X22" i="16"/>
  <c r="L12" i="2"/>
  <c r="X10" i="21"/>
  <c r="L20" i="2"/>
  <c r="V10" i="16"/>
  <c r="V9"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A31" i="11"/>
  <c r="P25" i="11"/>
  <c r="P17" i="11"/>
  <c r="BV23" i="16"/>
  <c r="BV26" i="16" s="1"/>
  <c r="BV30" i="16" s="1"/>
  <c r="BV14" i="16"/>
  <c r="BW33" i="20"/>
  <c r="AZ26" i="11"/>
  <c r="BH23" i="11"/>
  <c r="BK23" i="11"/>
  <c r="P23" i="17"/>
  <c r="P31" i="17" s="1"/>
  <c r="BI23" i="11"/>
  <c r="U14" i="17"/>
  <c r="P12" i="11"/>
  <c r="Q23" i="17"/>
  <c r="Q31" i="17"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<sst xmlns="http://schemas.openxmlformats.org/spreadsheetml/2006/main" count="2682" uniqueCount="1193">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</sst>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On/XrwRLVSsfTtimtSvNH3BhnaICrCQtsn81KBOAnKOwniHB7RpM7RlPitQJiWAIwb8WhXttkZCJzqRrWA93w==" saltValue="eirKk0mc6T/uuNn0RyNE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2</v>
      </c>
      <c r="F10" s="240">
        <f>IF(ISNUMBER(Datos!K10),Datos!K10," - ")</f>
        <v>4</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33.394973070017954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1148</v>
      </c>
      <c r="D17" s="239">
        <f>IF(ISNUMBER(IF(D_I="SI",Datos!I17,Datos!I17+Datos!AC17)),IF(D_I="SI",Datos!I17,Datos!I17+Datos!AC17)," - ")</f>
        <v>1148</v>
      </c>
      <c r="E17" s="240">
        <f>IF(ISNUMBER(IF(D_I="SI",Datos!J17,Datos!J17+Datos!AD17)),IF(D_I="SI",Datos!J17,Datos!J17+Datos!AD17)," - ")</f>
        <v>554</v>
      </c>
      <c r="F17" s="240">
        <f>IF(ISNUMBER(IF(D_I="SI",Datos!K17,Datos!K17+Datos!AE17)),IF(D_I="SI",Datos!K17,Datos!K17+Datos!AE17)," - ")</f>
        <v>497</v>
      </c>
      <c r="G17" s="1390" t="str">
        <f>IF(Datos!E17&lt;&gt;"",Datos!E17,Datos!D17)</f>
        <v>04</v>
      </c>
      <c r="H17" s="241">
        <f>IF(ISNUMBER(IF(D_I="SI",Datos!L17,Datos!L17+Datos!AF17)),IF(D_I="SI",Datos!L17,Datos!L17+Datos!AF17)," - ")</f>
        <v>1205</v>
      </c>
      <c r="I17" s="1400" t="str">
        <f>IF(ISNUMBER(Datos!AS17/Datos!BM17),Datos!AS17/Datos!BM17," - ")</f>
        <v xml:space="preserve"> - </v>
      </c>
      <c r="J17" s="1401">
        <f>IF(ISNUMBER(Datos!BY17/Datos!CN17),Datos!BY17/Datos!CN17," - ")</f>
        <v>0</v>
      </c>
      <c r="K17" s="244">
        <f t="shared" si="3"/>
        <v>4.9651567944250873E-2</v>
      </c>
      <c r="L17" s="1402">
        <f>IF(ISNUMBER(NºAsuntos!I17/NºAsuntos!G17),(NºAsuntos!I17/NºAsuntos!G17)*11," - ")</f>
        <v>26.670020120724345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74</v>
      </c>
      <c r="F18" s="240">
        <f>IF(ISNUMBER(IF(D_I="SI",Datos!K18,Datos!K18+Datos!AE18)),IF(D_I="SI",Datos!K18,Datos!K18+Datos!AE18)," - ")</f>
        <v>88</v>
      </c>
      <c r="G18" s="1390" t="str">
        <f>IF(Datos!E18&lt;&gt;"",Datos!E18,Datos!D18)</f>
        <v>37</v>
      </c>
      <c r="H18" s="241">
        <f>IF(ISNUMBER(IF(D_I="SI",Datos!L18,Datos!L18+Datos!AF18)),IF(D_I="SI",Datos!L18,Datos!L18+Datos!AF18)," - ")</f>
        <v>65</v>
      </c>
      <c r="I18" s="1400" t="str">
        <f>IF(ISNUMBER(Datos!AS18/Datos!BM18),Datos!AS18/Datos!BM18," - ")</f>
        <v xml:space="preserve"> - </v>
      </c>
      <c r="J18" s="1401" t="str">
        <f>IF(ISNUMBER((Datos!BY18+Datos!BZ18)/Datos!CN18),(Datos!BY18+Datos!BZ18)/Datos!CN18," - ")</f>
        <v xml:space="preserve"> - </v>
      </c>
      <c r="K18" s="244">
        <f t="shared" si="3"/>
        <v>-0.17721518987341772</v>
      </c>
      <c r="L18" s="1402">
        <f>IF(ISNUMBER(NºAsuntos!I18/NºAsuntos!G18),(NºAsuntos!I18/NºAsuntos!G18)*11," - ")</f>
        <v>8.125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1227</v>
      </c>
      <c r="D23" s="1407">
        <f>SUBTOTAL(9,D16:D22)</f>
        <v>1227</v>
      </c>
      <c r="E23" s="1408">
        <f>SUBTOTAL(9,E16:E22)</f>
        <v>628</v>
      </c>
      <c r="F23" s="1408">
        <f>SUBTOTAL(9,F16:F22)</f>
        <v>585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1261</v>
      </c>
      <c r="D31" s="1435">
        <f>SUBTOTAL(9,D9:D30)</f>
        <v>1261</v>
      </c>
      <c r="E31" s="1436">
        <f>SUBTOTAL(9,E9:E30)</f>
        <v>630</v>
      </c>
      <c r="F31" s="1436">
        <f>SUBTOTAL(9,F9:F30)</f>
        <v>589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9SoZ9GTWIzNvoJO6c+AnqXsZpGXGLKSKs/3L0XeXSO5uUwlC6aHjdCVQpKYcpKbobXLj0LA0hv8Qk6K5KE20g==" saltValue="FZ5mbIdNSVJ/udTbNvC1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pNfZSb0AkzvWjPfEcACBKT5qDAWZPYqLchlCCx1E433c667EqVjmKsy8Zr1z4WhRy8vLpIlwl3ivHjCbkYYAw==" saltValue="4lC27B1Vepc9Sl1TyZhw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2</v>
      </c>
      <c r="K10" s="194">
        <v>4</v>
      </c>
      <c r="L10" s="194">
        <v>32</v>
      </c>
      <c r="M10" s="194">
        <v>2</v>
      </c>
      <c r="N10" s="194">
        <v>0</v>
      </c>
      <c r="O10" s="194">
        <v>0</v>
      </c>
      <c r="P10" s="194">
        <v>1</v>
      </c>
      <c r="Q10" s="194">
        <v>2</v>
      </c>
      <c r="R10" s="194">
        <v>2</v>
      </c>
      <c r="S10" s="194">
        <v>35</v>
      </c>
      <c r="T10" s="194">
        <v>1</v>
      </c>
      <c r="U10" s="194">
        <v>0</v>
      </c>
      <c r="V10" s="194">
        <v>36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1</v>
      </c>
      <c r="BA10" s="139">
        <f t="shared" si="0"/>
        <v>0</v>
      </c>
      <c r="BB10" s="139">
        <f t="shared" si="0"/>
        <v>36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1523</v>
      </c>
      <c r="J12" s="196">
        <v>591</v>
      </c>
      <c r="K12" s="196">
        <v>516</v>
      </c>
      <c r="L12" s="196">
        <v>1598</v>
      </c>
      <c r="M12" s="196">
        <v>171</v>
      </c>
      <c r="N12" s="196">
        <v>99</v>
      </c>
      <c r="O12" s="194">
        <v>318</v>
      </c>
      <c r="P12" s="196">
        <v>160</v>
      </c>
      <c r="Q12" s="196">
        <v>162</v>
      </c>
      <c r="R12" s="196">
        <v>1654</v>
      </c>
      <c r="S12" s="196">
        <v>1314</v>
      </c>
      <c r="T12" s="196">
        <v>517</v>
      </c>
      <c r="U12" s="196">
        <v>383</v>
      </c>
      <c r="V12" s="196">
        <v>1448</v>
      </c>
      <c r="W12" s="196">
        <v>147</v>
      </c>
      <c r="X12" s="202">
        <v>110</v>
      </c>
      <c r="Y12" s="204">
        <v>84</v>
      </c>
      <c r="Z12" s="194">
        <v>50</v>
      </c>
      <c r="AA12" s="194">
        <v>41</v>
      </c>
      <c r="AB12" s="194">
        <v>93</v>
      </c>
      <c r="AC12" s="196">
        <v>0</v>
      </c>
      <c r="AD12" s="196">
        <v>0</v>
      </c>
      <c r="AE12" s="196">
        <v>0</v>
      </c>
      <c r="AF12" s="202">
        <v>0</v>
      </c>
      <c r="AG12" s="215">
        <v>31</v>
      </c>
      <c r="AH12" s="196">
        <v>124</v>
      </c>
      <c r="AI12" s="196">
        <v>37</v>
      </c>
      <c r="AJ12" s="216">
        <v>118</v>
      </c>
      <c r="AK12" s="195">
        <v>0</v>
      </c>
      <c r="AL12" s="196">
        <v>0</v>
      </c>
      <c r="AM12" s="196">
        <v>0</v>
      </c>
      <c r="AN12" s="202">
        <v>0</v>
      </c>
      <c r="AO12" s="283">
        <v>3</v>
      </c>
      <c r="AP12" s="168">
        <v>3</v>
      </c>
      <c r="AQ12" s="168">
        <v>3</v>
      </c>
      <c r="AR12" s="167">
        <v>3</v>
      </c>
      <c r="AS12" s="381" t="s">
        <v>1075</v>
      </c>
      <c r="AT12" s="216"/>
      <c r="AU12" s="215"/>
      <c r="AV12" s="216"/>
      <c r="AW12" s="215"/>
      <c r="AX12" s="216"/>
      <c r="AY12" s="136">
        <f t="shared" si="1"/>
        <v>1345</v>
      </c>
      <c r="AZ12" s="137">
        <f t="shared" si="1"/>
        <v>641</v>
      </c>
      <c r="BA12" s="137">
        <f t="shared" si="1"/>
        <v>420</v>
      </c>
      <c r="BB12" s="137">
        <f t="shared" si="1"/>
        <v>1566</v>
      </c>
      <c r="BC12" s="135">
        <f>IF(ISNUMBER(X12),X12," - ")</f>
        <v>110</v>
      </c>
      <c r="BD12" s="136">
        <f t="shared" si="2"/>
        <v>0.65522620904836193</v>
      </c>
      <c r="BE12" s="137">
        <f t="shared" si="3"/>
        <v>3.7285714285714286</v>
      </c>
      <c r="BF12" s="137">
        <f t="shared" si="4"/>
        <v>0.26190476190476192</v>
      </c>
      <c r="BG12" s="209">
        <f t="shared" si="5"/>
        <v>4.7285714285714286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1557</v>
      </c>
      <c r="J14" s="197">
        <f t="shared" si="7"/>
        <v>593</v>
      </c>
      <c r="K14" s="197">
        <f t="shared" si="7"/>
        <v>520</v>
      </c>
      <c r="L14" s="197">
        <f t="shared" si="7"/>
        <v>1630</v>
      </c>
      <c r="M14" s="197">
        <f t="shared" si="7"/>
        <v>173</v>
      </c>
      <c r="N14" s="197">
        <f t="shared" si="7"/>
        <v>99</v>
      </c>
      <c r="O14" s="197">
        <f t="shared" si="7"/>
        <v>318</v>
      </c>
      <c r="P14" s="197">
        <f t="shared" si="7"/>
        <v>161</v>
      </c>
      <c r="Q14" s="197">
        <f t="shared" si="7"/>
        <v>164</v>
      </c>
      <c r="R14" s="197">
        <f t="shared" si="7"/>
        <v>1656</v>
      </c>
      <c r="S14" s="197">
        <f t="shared" si="7"/>
        <v>1349</v>
      </c>
      <c r="T14" s="197">
        <f t="shared" si="7"/>
        <v>518</v>
      </c>
      <c r="U14" s="197">
        <f t="shared" si="7"/>
        <v>383</v>
      </c>
      <c r="V14" s="197">
        <f t="shared" si="7"/>
        <v>1484</v>
      </c>
      <c r="W14" s="197">
        <f t="shared" si="7"/>
        <v>147</v>
      </c>
      <c r="X14" s="197">
        <f t="shared" si="7"/>
        <v>110</v>
      </c>
      <c r="Y14" s="197">
        <f t="shared" si="7"/>
        <v>84</v>
      </c>
      <c r="Z14" s="197">
        <f t="shared" si="7"/>
        <v>50</v>
      </c>
      <c r="AA14" s="197">
        <f t="shared" si="7"/>
        <v>41</v>
      </c>
      <c r="AB14" s="197">
        <f t="shared" si="7"/>
        <v>93</v>
      </c>
      <c r="AC14" s="197">
        <f t="shared" si="7"/>
        <v>0</v>
      </c>
      <c r="AD14" s="197">
        <f t="shared" si="7"/>
        <v>0</v>
      </c>
      <c r="AE14" s="197">
        <f t="shared" si="7"/>
        <v>0</v>
      </c>
      <c r="AF14" s="197">
        <f>SUBTOTAL(9,AF9:AF13)</f>
        <v>0</v>
      </c>
      <c r="AG14" s="197">
        <f t="shared" ref="AG14:AT14" si="8">SUBTOTAL(9,AG8:AG13)</f>
        <v>31</v>
      </c>
      <c r="AH14" s="197">
        <f t="shared" si="8"/>
        <v>124</v>
      </c>
      <c r="AI14" s="197">
        <f t="shared" si="8"/>
        <v>37</v>
      </c>
      <c r="AJ14" s="197">
        <f t="shared" si="8"/>
        <v>118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1380</v>
      </c>
      <c r="AZ14" s="197">
        <f>SUBTOTAL(9,AZ8:AZ13)</f>
        <v>642</v>
      </c>
      <c r="BA14" s="197">
        <f>SUBTOTAL(9,BA8:BA13)</f>
        <v>420</v>
      </c>
      <c r="BB14" s="197">
        <f>SUBTOTAL(9,BB8:BB13)</f>
        <v>1602</v>
      </c>
      <c r="BC14" s="197">
        <f>SUBTOTAL(9,BC8:BC13)</f>
        <v>110</v>
      </c>
      <c r="BD14" s="219">
        <f>IF(ISNUMBER(BA14/AZ14),BA14/AZ14," - ")</f>
        <v>0.65420560747663548</v>
      </c>
      <c r="BE14" s="220">
        <f>IF(ISNUMBER(BB14/BA14),BB14/BA14, " - ")</f>
        <v>3.8142857142857145</v>
      </c>
      <c r="BF14" s="220">
        <f>IF(ISNUMBER(BC14/BA14),BC14/BA14, " - ")</f>
        <v>0.26190476190476192</v>
      </c>
      <c r="BG14" s="221">
        <f>IF(ISNUMBER((AY14+AZ14)/BA14),(AY14+AZ14)/BA14," - ")</f>
        <v>4.8142857142857141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1148</v>
      </c>
      <c r="J17" s="196">
        <v>554</v>
      </c>
      <c r="K17" s="196">
        <v>497</v>
      </c>
      <c r="L17" s="196">
        <v>1205</v>
      </c>
      <c r="M17" s="196">
        <v>80</v>
      </c>
      <c r="N17" s="196">
        <v>210</v>
      </c>
      <c r="O17" s="194">
        <v>3</v>
      </c>
      <c r="P17" s="196">
        <v>7</v>
      </c>
      <c r="Q17" s="196">
        <v>12</v>
      </c>
      <c r="R17" s="196">
        <v>131</v>
      </c>
      <c r="S17" s="196">
        <v>1118</v>
      </c>
      <c r="T17" s="196">
        <v>519</v>
      </c>
      <c r="U17" s="196">
        <v>562</v>
      </c>
      <c r="V17" s="196">
        <v>1075</v>
      </c>
      <c r="W17" s="196">
        <v>99</v>
      </c>
      <c r="X17" s="202">
        <v>299</v>
      </c>
      <c r="Y17" s="215">
        <v>0</v>
      </c>
      <c r="Z17" s="196">
        <v>0</v>
      </c>
      <c r="AA17" s="196">
        <v>0</v>
      </c>
      <c r="AB17" s="196">
        <v>0</v>
      </c>
      <c r="AC17" s="196">
        <v>2</v>
      </c>
      <c r="AD17" s="196">
        <v>5</v>
      </c>
      <c r="AE17" s="196">
        <v>4</v>
      </c>
      <c r="AF17" s="202">
        <v>3</v>
      </c>
      <c r="AG17" s="215">
        <v>0</v>
      </c>
      <c r="AH17" s="196">
        <v>0</v>
      </c>
      <c r="AI17" s="196">
        <v>0</v>
      </c>
      <c r="AJ17" s="216">
        <v>0</v>
      </c>
      <c r="AK17" s="195">
        <v>3</v>
      </c>
      <c r="AL17" s="196">
        <v>6</v>
      </c>
      <c r="AM17" s="196">
        <v>7</v>
      </c>
      <c r="AN17" s="202">
        <v>2</v>
      </c>
      <c r="AO17" s="283">
        <v>3</v>
      </c>
      <c r="AP17" s="168">
        <v>3</v>
      </c>
      <c r="AQ17" s="168">
        <v>3</v>
      </c>
      <c r="AR17" s="168">
        <v>3</v>
      </c>
      <c r="AS17" s="381" t="s">
        <v>650</v>
      </c>
      <c r="AT17" s="216"/>
      <c r="AU17" s="215"/>
      <c r="AV17" s="216"/>
      <c r="AW17" s="215"/>
      <c r="AX17" s="216"/>
      <c r="AY17" s="136">
        <f t="shared" si="10"/>
        <v>1118</v>
      </c>
      <c r="AZ17" s="137">
        <f t="shared" si="10"/>
        <v>519</v>
      </c>
      <c r="BA17" s="137">
        <f t="shared" si="10"/>
        <v>562</v>
      </c>
      <c r="BB17" s="137">
        <f t="shared" si="10"/>
        <v>1075</v>
      </c>
      <c r="BC17" s="135">
        <f>IF(ISNUMBER(W17),W17," - ")</f>
        <v>99</v>
      </c>
      <c r="BD17" s="136">
        <f t="shared" ref="BD17:BD22" si="12">IF(ISNUMBER(BA17/AZ17),BA17/AZ17," - ")</f>
        <v>1.0828516377649327</v>
      </c>
      <c r="BE17" s="137">
        <f t="shared" ref="BE17:BE22" si="13">IF(ISNUMBER(BB17/BA17),BB17/BA17, " - ")</f>
        <v>1.9128113879003559</v>
      </c>
      <c r="BF17" s="137">
        <f t="shared" ref="BF17:BF22" si="14">IF(ISNUMBER(BC17/BA17),BC17/BA17, " - ")</f>
        <v>0.17615658362989323</v>
      </c>
      <c r="BG17" s="209">
        <f t="shared" si="11"/>
        <v>2.9128113879003559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74</v>
      </c>
      <c r="K18" s="196">
        <v>88</v>
      </c>
      <c r="L18" s="196">
        <v>65</v>
      </c>
      <c r="M18" s="196">
        <v>11</v>
      </c>
      <c r="N18" s="196">
        <v>33</v>
      </c>
      <c r="O18" s="196">
        <v>0</v>
      </c>
      <c r="P18" s="196">
        <v>0</v>
      </c>
      <c r="Q18" s="196">
        <v>1</v>
      </c>
      <c r="R18" s="196">
        <v>1</v>
      </c>
      <c r="S18" s="196">
        <v>123</v>
      </c>
      <c r="T18" s="196">
        <v>73</v>
      </c>
      <c r="U18" s="196">
        <v>74</v>
      </c>
      <c r="V18" s="196">
        <v>122</v>
      </c>
      <c r="W18" s="196">
        <v>8</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123</v>
      </c>
      <c r="AZ18" s="139">
        <f t="shared" si="15"/>
        <v>73</v>
      </c>
      <c r="BA18" s="139">
        <f t="shared" si="15"/>
        <v>74</v>
      </c>
      <c r="BB18" s="139">
        <f t="shared" si="15"/>
        <v>122</v>
      </c>
      <c r="BC18" s="135">
        <f>IF(ISNUMBER(W18),W18," - ")</f>
        <v>8</v>
      </c>
      <c r="BD18" s="136">
        <f>IF(ISNUMBER(BA18/AZ18),BA18/AZ18," - ")</f>
        <v>1.0136986301369864</v>
      </c>
      <c r="BE18" s="137">
        <f>IF(ISNUMBER(BB18/BA18),BB18/BA18, " - ")</f>
        <v>1.6486486486486487</v>
      </c>
      <c r="BF18" s="137">
        <f>IF(ISNUMBER(BC18/BA18),BC18/BA18, " - ")</f>
        <v>0.10810810810810811</v>
      </c>
      <c r="BG18" s="209">
        <f>IF(ISNUMBER((AY18+AZ18)/BA18),(AY18+AZ18)/BA18," - ")</f>
        <v>2.6486486486486487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1227</v>
      </c>
      <c r="J23" s="197">
        <f t="shared" si="21"/>
        <v>628</v>
      </c>
      <c r="K23" s="197">
        <f t="shared" si="21"/>
        <v>585</v>
      </c>
      <c r="L23" s="197">
        <f t="shared" si="21"/>
        <v>1270</v>
      </c>
      <c r="M23" s="197">
        <f t="shared" si="21"/>
        <v>91</v>
      </c>
      <c r="N23" s="197">
        <f t="shared" si="21"/>
        <v>243</v>
      </c>
      <c r="O23" s="197">
        <f t="shared" si="21"/>
        <v>3</v>
      </c>
      <c r="P23" s="197">
        <f t="shared" si="21"/>
        <v>7</v>
      </c>
      <c r="Q23" s="197">
        <f t="shared" si="21"/>
        <v>13</v>
      </c>
      <c r="R23" s="197">
        <f t="shared" si="21"/>
        <v>132</v>
      </c>
      <c r="S23" s="197">
        <f t="shared" si="21"/>
        <v>1241</v>
      </c>
      <c r="T23" s="197">
        <f t="shared" si="21"/>
        <v>592</v>
      </c>
      <c r="U23" s="197">
        <f t="shared" si="21"/>
        <v>636</v>
      </c>
      <c r="V23" s="197">
        <f t="shared" si="21"/>
        <v>1197</v>
      </c>
      <c r="W23" s="197">
        <f t="shared" si="21"/>
        <v>107</v>
      </c>
      <c r="X23" s="197">
        <f t="shared" si="21"/>
        <v>336</v>
      </c>
      <c r="Y23" s="197">
        <f t="shared" si="21"/>
        <v>0</v>
      </c>
      <c r="Z23" s="197">
        <f t="shared" si="21"/>
        <v>0</v>
      </c>
      <c r="AA23" s="197">
        <f t="shared" si="21"/>
        <v>0</v>
      </c>
      <c r="AB23" s="197">
        <f t="shared" si="21"/>
        <v>0</v>
      </c>
      <c r="AC23" s="197">
        <f t="shared" si="21"/>
        <v>2</v>
      </c>
      <c r="AD23" s="197">
        <f t="shared" si="21"/>
        <v>5</v>
      </c>
      <c r="AE23" s="197">
        <f t="shared" si="21"/>
        <v>4</v>
      </c>
      <c r="AF23" s="197">
        <f t="shared" si="21"/>
        <v>3</v>
      </c>
      <c r="AG23" s="197">
        <f t="shared" si="21"/>
        <v>0</v>
      </c>
      <c r="AH23" s="197">
        <f t="shared" si="21"/>
        <v>0</v>
      </c>
      <c r="AI23" s="197">
        <f t="shared" si="21"/>
        <v>0</v>
      </c>
      <c r="AJ23" s="197">
        <f t="shared" si="21"/>
        <v>0</v>
      </c>
      <c r="AK23" s="197">
        <f t="shared" si="21"/>
        <v>3</v>
      </c>
      <c r="AL23" s="197">
        <f t="shared" si="21"/>
        <v>6</v>
      </c>
      <c r="AM23" s="197">
        <f t="shared" si="21"/>
        <v>7</v>
      </c>
      <c r="AN23" s="197">
        <f t="shared" si="21"/>
        <v>2</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1241</v>
      </c>
      <c r="AZ23" s="197">
        <f>SUBTOTAL(9,AZ15:AZ22)</f>
        <v>592</v>
      </c>
      <c r="BA23" s="197">
        <f>SUBTOTAL(9,BA15:BA22)</f>
        <v>636</v>
      </c>
      <c r="BB23" s="197">
        <f>SUBTOTAL(9,BB15:BB22)</f>
        <v>1197</v>
      </c>
      <c r="BC23" s="197">
        <f>SUBTOTAL(9,BC15:BC22)</f>
        <v>107</v>
      </c>
      <c r="BD23" s="219">
        <f>IF(ISNUMBER(BA23/AZ23),BA23/AZ23," - ")</f>
        <v>1.0743243243243243</v>
      </c>
      <c r="BE23" s="220">
        <f>IF(ISNUMBER(BB23/BA23),BB23/BA23, " - ")</f>
        <v>1.8820754716981132</v>
      </c>
      <c r="BF23" s="220">
        <f>IF(ISNUMBER(BC23/BA23),BC23/BA23, " - ")</f>
        <v>0.16823899371069181</v>
      </c>
      <c r="BG23" s="221">
        <f>IF(ISNUMBER((AY23+AZ23)/BA23),(AY23+AZ23)/BA23," - ")</f>
        <v>2.8820754716981134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2784</v>
      </c>
      <c r="J31" s="144">
        <f t="shared" si="36"/>
        <v>1221</v>
      </c>
      <c r="K31" s="144">
        <f t="shared" si="36"/>
        <v>1105</v>
      </c>
      <c r="L31" s="144">
        <f t="shared" si="36"/>
        <v>2900</v>
      </c>
      <c r="M31" s="144">
        <f t="shared" si="36"/>
        <v>264</v>
      </c>
      <c r="N31" s="144">
        <f t="shared" si="36"/>
        <v>342</v>
      </c>
      <c r="O31" s="144">
        <f t="shared" si="36"/>
        <v>321</v>
      </c>
      <c r="P31" s="144">
        <f t="shared" si="36"/>
        <v>168</v>
      </c>
      <c r="Q31" s="144">
        <f t="shared" si="36"/>
        <v>177</v>
      </c>
      <c r="R31" s="144">
        <f t="shared" si="36"/>
        <v>1788</v>
      </c>
      <c r="S31" s="144">
        <f t="shared" si="36"/>
        <v>2590</v>
      </c>
      <c r="T31" s="144">
        <f t="shared" si="36"/>
        <v>1110</v>
      </c>
      <c r="U31" s="144">
        <f t="shared" si="36"/>
        <v>1019</v>
      </c>
      <c r="V31" s="144">
        <f t="shared" si="36"/>
        <v>2681</v>
      </c>
      <c r="W31" s="144">
        <f t="shared" si="36"/>
        <v>254</v>
      </c>
      <c r="X31" s="144">
        <f t="shared" si="36"/>
        <v>446</v>
      </c>
      <c r="Y31" s="144">
        <f t="shared" si="36"/>
        <v>84</v>
      </c>
      <c r="Z31" s="144">
        <f t="shared" si="36"/>
        <v>50</v>
      </c>
      <c r="AA31" s="144">
        <f t="shared" si="36"/>
        <v>41</v>
      </c>
      <c r="AB31" s="144">
        <f t="shared" si="36"/>
        <v>93</v>
      </c>
      <c r="AC31" s="144">
        <f t="shared" si="36"/>
        <v>2</v>
      </c>
      <c r="AD31" s="144">
        <f t="shared" si="36"/>
        <v>5</v>
      </c>
      <c r="AE31" s="144">
        <f t="shared" si="36"/>
        <v>4</v>
      </c>
      <c r="AF31" s="144">
        <f t="shared" si="36"/>
        <v>3</v>
      </c>
      <c r="AG31" s="144">
        <f t="shared" si="36"/>
        <v>31</v>
      </c>
      <c r="AH31" s="144">
        <f t="shared" si="36"/>
        <v>124</v>
      </c>
      <c r="AI31" s="144">
        <f t="shared" si="36"/>
        <v>37</v>
      </c>
      <c r="AJ31" s="144">
        <f t="shared" si="36"/>
        <v>118</v>
      </c>
      <c r="AK31" s="144">
        <f t="shared" si="36"/>
        <v>3</v>
      </c>
      <c r="AL31" s="144">
        <f t="shared" si="36"/>
        <v>6</v>
      </c>
      <c r="AM31" s="144">
        <f t="shared" si="36"/>
        <v>7</v>
      </c>
      <c r="AN31" s="224">
        <f t="shared" si="36"/>
        <v>2</v>
      </c>
      <c r="AO31" s="225">
        <v>4</v>
      </c>
      <c r="AP31" s="225">
        <v>3</v>
      </c>
      <c r="AQ31" s="225">
        <v>3</v>
      </c>
      <c r="AR31" s="225">
        <v>3</v>
      </c>
      <c r="AS31" s="166">
        <f t="shared" si="36"/>
        <v>0</v>
      </c>
      <c r="AT31" s="166">
        <f t="shared" si="36"/>
        <v>0</v>
      </c>
      <c r="AU31" s="225"/>
      <c r="AV31" s="226"/>
      <c r="AW31" s="225"/>
      <c r="AX31" s="226"/>
      <c r="AY31" s="143">
        <f>SUBTOTAL(9,AY9:AY30)</f>
        <v>2621</v>
      </c>
      <c r="AZ31" s="144">
        <f>SUBTOTAL(9,AZ9:AZ30)</f>
        <v>1234</v>
      </c>
      <c r="BA31" s="144">
        <f>SUBTOTAL(9,BA9:BA30)</f>
        <v>1056</v>
      </c>
      <c r="BB31" s="144">
        <f>SUBTOTAL(9,BB9:BB30)</f>
        <v>2799</v>
      </c>
      <c r="BC31" s="145">
        <f>SUBTOTAL(9,BC9:BC30)</f>
        <v>217</v>
      </c>
      <c r="BD31" s="227">
        <f>IF(ISNUMBER(BA31/AZ31),BA31/AZ31," - ")</f>
        <v>0.85575364667747167</v>
      </c>
      <c r="BE31" s="224">
        <f>IF(ISNUMBER(BB31/BA31),BB31/BA31, " - ")</f>
        <v>2.6505681818181817</v>
      </c>
      <c r="BF31" s="224">
        <f>IF(ISNUMBER(BC31/BA31),BC31/BA31, " - ")</f>
        <v>0.20549242424242425</v>
      </c>
      <c r="BG31" s="145">
        <f>IF(ISNUMBER((AY31+AZ31)/BA31),(AY31+AZ31)/BA31," - ")</f>
        <v>3.6505681818181817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yTXZcv+lrEaiCnQqPQJKuvE1QZPOCTDEiAUNc39UTcM6ePXQV4fuGYDPopFjZYYnC3cRiD742NkBWV2VmkfA==" saltValue="cIl7tmPD6JngrQkaDcMf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AuwIz+hYRVOmLHKH0VVnV7egB0pWUmqEyI3Nqz9cnDVTa/p1edWTZgktEdwVmqsn/7TBy8l3Sxt53wjfoCsg==" saltValue="n/uarPSc9G91xCYfk1Yy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RIBEIRA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32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1654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171</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0.86895475819032764</v>
      </c>
      <c r="BH12" s="764">
        <f>IF(ISNUMBER(((IF(J_V="SI",Datos!L12/Datos!K12,(Datos!L12+Datos!AB12)/(Datos!K12+Datos!AA12)))*11)/factor_trimestre),((IF(J_V="SI",Datos!L12/Datos!K12,(Datos!L12+Datos!AB12)/(Datos!K12+Datos!AA12)))*11)/factor_trimestre," - ")</f>
        <v>9.1077199281867145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-1.2077294685990338E-3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164</v>
      </c>
      <c r="AD14" s="1198">
        <f t="shared" si="2"/>
        <v>0</v>
      </c>
      <c r="AE14" s="1198">
        <f t="shared" si="2"/>
        <v>0</v>
      </c>
      <c r="AF14" s="1198">
        <f t="shared" si="2"/>
        <v>32</v>
      </c>
      <c r="AG14" s="1198">
        <f t="shared" si="2"/>
        <v>0</v>
      </c>
      <c r="AH14" s="1198">
        <f t="shared" si="2"/>
        <v>93</v>
      </c>
      <c r="AI14" s="1198">
        <f t="shared" si="2"/>
        <v>0</v>
      </c>
      <c r="AJ14" s="1198">
        <f t="shared" si="2"/>
        <v>0</v>
      </c>
      <c r="AK14" s="1198">
        <f t="shared" si="2"/>
        <v>0</v>
      </c>
      <c r="AL14" s="1198">
        <f t="shared" si="2"/>
        <v>0</v>
      </c>
      <c r="AM14" s="1198">
        <f t="shared" si="2"/>
        <v>1656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173</v>
      </c>
      <c r="BD14" s="1198">
        <f t="shared" si="2"/>
        <v>99</v>
      </c>
      <c r="BE14" s="1198">
        <f t="shared" si="2"/>
        <v>0</v>
      </c>
      <c r="BF14" s="1198">
        <f t="shared" si="2"/>
        <v>0</v>
      </c>
      <c r="BG14" s="1198">
        <f>IF(ISNUMBER(Datos!K14/Datos!J14),Datos!K14/Datos!J14," - ")</f>
        <v>0.87689713322091067</v>
      </c>
      <c r="BH14" s="1202">
        <f>IF(ISNUMBER(((Datos!L14/Datos!K14)*11)/factor_trimestre),((Datos!L14/Datos!K14)*11)/factor_trimestre," - ")</f>
        <v>9.4038461538461551</v>
      </c>
      <c r="BI14" s="1198">
        <f>IF(ISNUMBER('Resol  Asuntos'!D14/NºAsuntos!G14),'Resol  Asuntos'!D14/NºAsuntos!G14," - ")</f>
        <v>0.30837789661319071</v>
      </c>
      <c r="BJ14" s="1198" t="str">
        <f>IF(ISNUMBER(Datos!CI14/Datos!CJ14),Datos!CI14/Datos!CJ14," - ")</f>
        <v xml:space="preserve"> - </v>
      </c>
      <c r="BK14" s="1198">
        <f>SUBTOTAL(9,BK8:BK13)</f>
        <v>0</v>
      </c>
      <c r="BL14" s="1198">
        <f>IF(ISNUMBER((I14-AB14+L14)/(F14)),(I14-AB14+L14)/(F14)," - ")</f>
        <v>-0.11764705882352941</v>
      </c>
      <c r="BM14" s="1203">
        <f>SUBTOTAL(9,BM9:BM13)</f>
        <v>-0.33454106280193235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1148</v>
      </c>
      <c r="G17" s="743">
        <f>IF(ISNUMBER(IF(D_I="SI",Datos!I17,Datos!I17+Datos!AC17)),IF(D_I="SI",Datos!I17,Datos!I17+Datos!AC17)," - ")</f>
        <v>1148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497</v>
      </c>
      <c r="AC17" s="240">
        <f>IF(ISNUMBER(Datos!Q17),Datos!Q17," - ")</f>
        <v>12</v>
      </c>
      <c r="AD17" s="374"/>
      <c r="AE17" s="562"/>
      <c r="AF17" s="741">
        <f>IF(ISNUMBER(IF(D_I="SI",Datos!L17,Datos!L17+Datos!AF17)),IF(D_I="SI",Datos!L17,Datos!L17+Datos!AF17)," - ")</f>
        <v>1205</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210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0.8971119133574007</v>
      </c>
      <c r="BH17" s="764">
        <f>IF(ISNUMBER(((IF(D_I="SI",Datos!L17/Datos!K17,(Datos!L17+Datos!AF17)/(Datos!K17+Datos!AE17)))*11)/factor_trimestre),((IF(D_I="SI",Datos!L17/Datos!K17,(Datos!L17+Datos!AF17)/(Datos!K17+Datos!AE17)))*11)/factor_trimestre," - ")</f>
        <v>7.2736418511066399</v>
      </c>
      <c r="BI17" s="266">
        <f>IF(ISNUMBER('Resol  Asuntos'!D17/NºAsuntos!G17),'Resol  Asuntos'!D17/NºAsuntos!G17," - ")</f>
        <v>0.16096579476861167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88</v>
      </c>
      <c r="AC18" s="547">
        <f>IF(ISNUMBER(Datos!Q18),Datos!Q18," - ")</f>
        <v>1</v>
      </c>
      <c r="AD18" s="549"/>
      <c r="AE18" s="562"/>
      <c r="AF18" s="551">
        <f>IF(ISNUMBER(Datos!L18),Datos!L18,"-")</f>
        <v>65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1.1891891891891893</v>
      </c>
      <c r="BH18" s="764">
        <f>IF(ISNUMBER(((IF(D_I="SI",Datos!L18/Datos!K18,(Datos!L18+Datos!AF18)/(Datos!K18+Datos!AE18)))*11)/factor_trimestre),((IF(D_I="SI",Datos!L18/Datos!K18,(Datos!L18+Datos!AF18)/(Datos!K18+Datos!AE18)))*11)/factor_trimestre," - ")</f>
        <v>2.2159090909090908</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1148</v>
      </c>
      <c r="G23" s="1197">
        <f>SUBTOTAL(9,G16:G22)</f>
        <v>1227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585</v>
      </c>
      <c r="AC23" s="1198">
        <f t="shared" si="5"/>
        <v>13</v>
      </c>
      <c r="AD23" s="1198">
        <f t="shared" si="5"/>
        <v>0</v>
      </c>
      <c r="AE23" s="1198">
        <f t="shared" si="5"/>
        <v>0</v>
      </c>
      <c r="AF23" s="1198">
        <f t="shared" si="5"/>
        <v>1270</v>
      </c>
      <c r="AG23" s="1198">
        <f t="shared" si="5"/>
        <v>0</v>
      </c>
      <c r="AH23" s="1198">
        <f t="shared" si="5"/>
        <v>0</v>
      </c>
      <c r="AI23" s="1198">
        <f t="shared" si="5"/>
        <v>0</v>
      </c>
      <c r="AJ23" s="1198">
        <f t="shared" si="5"/>
        <v>0</v>
      </c>
      <c r="AK23" s="1198">
        <f t="shared" si="5"/>
        <v>0</v>
      </c>
      <c r="AL23" s="1198">
        <f t="shared" si="5"/>
        <v>0</v>
      </c>
      <c r="AM23" s="1198">
        <f t="shared" si="5"/>
        <v>132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243</v>
      </c>
      <c r="BE23" s="1198">
        <f t="shared" si="5"/>
        <v>0</v>
      </c>
      <c r="BF23" s="1198">
        <f t="shared" si="5"/>
        <v>0</v>
      </c>
      <c r="BG23" s="1198">
        <f>IF(ISNUMBER(Datos!K23/Datos!J23),Datos!K23/Datos!J23," - ")</f>
        <v>0.93152866242038213</v>
      </c>
      <c r="BH23" s="1202">
        <f>IF(ISNUMBER(((Datos!L23/Datos!K23)*11)/factor_trimestre),((Datos!L23/Datos!K23)*11)/factor_trimestre," - ")</f>
        <v>6.5128205128205119</v>
      </c>
      <c r="BI23" s="1198">
        <f>SUBTOTAL(9,BI16:BI22)</f>
        <v>0.28596579476861167</v>
      </c>
      <c r="BJ23" s="1198">
        <f>SUBTOTAL(9,BJ16:BJ22)</f>
        <v>0</v>
      </c>
      <c r="BK23" s="1198">
        <f>SUBTOTAL(9,BK16:BK22)</f>
        <v>0</v>
      </c>
      <c r="BL23" s="1198">
        <f>IF(ISNUMBER((I23-AB23+L23)/(F23)),(I23-AB23+L23)/(F23)," - ")</f>
        <v>-0.50958188153310102</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1182</v>
      </c>
      <c r="G31" s="1117">
        <f t="shared" si="18"/>
        <v>1261</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589</v>
      </c>
      <c r="AC31" s="1118">
        <f t="shared" si="19"/>
        <v>177</v>
      </c>
      <c r="AD31" s="1118">
        <f t="shared" si="19"/>
        <v>0</v>
      </c>
      <c r="AE31" s="1118">
        <f t="shared" si="19"/>
        <v>0</v>
      </c>
      <c r="AF31" s="1125">
        <f t="shared" si="19"/>
        <v>1302</v>
      </c>
      <c r="AG31" s="1125">
        <f t="shared" si="19"/>
        <v>0</v>
      </c>
      <c r="AH31" s="1125">
        <f t="shared" si="19"/>
        <v>93</v>
      </c>
      <c r="AI31" s="1125">
        <f t="shared" si="19"/>
        <v>0</v>
      </c>
      <c r="AJ31" s="1118">
        <f t="shared" si="19"/>
        <v>0</v>
      </c>
      <c r="AK31" s="1125">
        <f t="shared" si="19"/>
        <v>0</v>
      </c>
      <c r="AL31" s="1125">
        <f t="shared" si="19"/>
        <v>0</v>
      </c>
      <c r="AM31" s="1125">
        <f t="shared" si="19"/>
        <v>1788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264</v>
      </c>
      <c r="BD31" s="1117">
        <f t="shared" si="19"/>
        <v>342</v>
      </c>
      <c r="BE31" s="1117">
        <f t="shared" si="19"/>
        <v>0</v>
      </c>
      <c r="BF31" s="1127">
        <f t="shared" si="19"/>
        <v>0</v>
      </c>
      <c r="BG31" s="1223">
        <f>IF(ISNUMBER(Datos!K31/Datos!J31),Datos!K31/Datos!J31," - ")</f>
        <v>0.90499590499590499</v>
      </c>
      <c r="BH31" s="1223">
        <f>IF(ISNUMBER(((Datos!L31/Datos!K31)*11)/factor_trimestre),((Datos!L31/Datos!K31)*11)/factor_trimestre," - ")</f>
        <v>7.8733031674208149</v>
      </c>
      <c r="BI31" s="1103">
        <f>IF(ISNUMBER(Datos!J31/Datos!I31),Datos!J31/Datos!I31," - ")</f>
        <v>0.43857758620689657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-0.49830795262267341</v>
      </c>
      <c r="BM31" s="1188">
        <f>IF(ISNUMBER((Datos!P31-Datos!Q31+R31)/(Datos!R31-Datos!P31+Datos!Q31-R31)),(Datos!P31-Datos!Q31+R31)/(Datos!R31-Datos!P31+Datos!Q31-R31)," - ")</f>
        <v>-5.008347245409015E-3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584.24378473373599</v>
      </c>
      <c r="G33" s="674">
        <f>IF(ISNUMBER(STDEV(G8:G30)),STDEV(G8:G30),"-")</f>
        <v>566.17803863146389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257.80141859301597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74.764391830030192</v>
      </c>
      <c r="BD33" s="673"/>
      <c r="BE33" s="673">
        <f>IF(ISNUMBER(STDEV(BE8:BE30)),STDEV(BE8:BE30),"-")</f>
        <v>0</v>
      </c>
      <c r="BF33" s="678">
        <f>IF(ISNUMBER(STDEV(BF8:BF30)),STDEV(BF8:BF30),"-")</f>
        <v>0</v>
      </c>
      <c r="BG33" s="1052">
        <f>IF(ISNUMBER(STDEV(BG8:BG30)),STDEV(BG8:BG30),"-")</f>
        <v>0.44411538836457143</v>
      </c>
      <c r="BH33" s="1058">
        <f>IF(ISNUMBER(STDEV(BH8:BH30)),STDEV(BH8:BH30),"-")</f>
        <v>7.4427013958681139</v>
      </c>
      <c r="BI33" s="273">
        <f>IF(ISNUMBER(STDEV(BI8:BI30)),STDEV(BI8:BI30),"-")</f>
        <v>9.0686551981920716E-2</v>
      </c>
      <c r="BJ33" s="244" t="str">
        <f>IF(ISNUMBER(BL33/BM33),BL33/BM33," - ")</f>
        <v xml:space="preserve"> - </v>
      </c>
      <c r="BK33" s="709"/>
      <c r="BL33" s="681">
        <f>IF(ISNUMBER(STDEV(BL8:BL30)),STDEV(BL8:BL30),"-")</f>
        <v>0.27713977092108527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XiJ/pvc4ckQuGmvqIXy3EnRRsoFg00bUJKF3rq8qUJLyB95vtbP1+K4YdGPekLIcgGq+x9CakkyvhAPr3cMew==" saltValue="uLJU11FbEa+DLvBXpTbU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RIBEIRA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32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162</v>
      </c>
      <c r="AA12" s="551" t="str">
        <f>IF(ISNUMBER(IF(J_V="SI",Datos!L12,Datos!L12+Datos!AB12)-IF(Monitorios="SI",Datos!CD12,0)),
                          IF(J_V="SI",Datos!L12,Datos!L12+Datos!AB12)-IF(Monitorios="SI",Datos!CD12,0),
                          " - ")</f>
        <v xml:space="preserve"> - </v>
      </c>
      <c r="AB12" s="549"/>
      <c r="AC12" s="549"/>
      <c r="AD12" s="563"/>
      <c r="AE12" s="563">
        <f>IF(ISNUMBER(Datos!R12),Datos!R12," - ")</f>
        <v>1654</v>
      </c>
      <c r="AF12" s="693" t="str">
        <f>IF(ISNUMBER(Datos!BV12),Datos!BV12," - ")</f>
        <v xml:space="preserve"> - </v>
      </c>
      <c r="AG12" s="552" t="str">
        <f>IF(ISNUMBER(Datos!DV12),Datos!DV12," - ")</f>
        <v xml:space="preserve"> - </v>
      </c>
      <c r="AH12" s="553"/>
      <c r="AI12" s="554"/>
      <c r="AJ12" s="552">
        <f>IF(ISNUMBER(Datos!M12),Datos!M12," - ")</f>
        <v>171</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9.1077199281867145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-1.2077294685990338E-3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164</v>
      </c>
      <c r="AA14" s="1199">
        <f t="shared" si="3"/>
        <v>32</v>
      </c>
      <c r="AB14" s="1199">
        <f t="shared" si="3"/>
        <v>0</v>
      </c>
      <c r="AC14" s="1199">
        <f t="shared" si="3"/>
        <v>0</v>
      </c>
      <c r="AD14" s="1199">
        <f t="shared" si="3"/>
        <v>0</v>
      </c>
      <c r="AE14" s="1199">
        <f t="shared" si="3"/>
        <v>1656</v>
      </c>
      <c r="AF14" s="1211">
        <f t="shared" si="3"/>
        <v>0</v>
      </c>
      <c r="AG14" s="1211">
        <f t="shared" si="3"/>
        <v>0</v>
      </c>
      <c r="AH14" s="1211">
        <f t="shared" si="3"/>
        <v>0</v>
      </c>
      <c r="AI14" s="1211">
        <f t="shared" si="3"/>
        <v>0</v>
      </c>
      <c r="AJ14" s="1211">
        <f t="shared" si="3"/>
        <v>173</v>
      </c>
      <c r="AK14" s="1211">
        <f t="shared" si="3"/>
        <v>99</v>
      </c>
      <c r="AL14" s="1211">
        <f t="shared" si="3"/>
        <v>0</v>
      </c>
      <c r="AM14" s="1211">
        <f t="shared" si="3"/>
        <v>0</v>
      </c>
      <c r="AN14" s="1211">
        <f t="shared" si="3"/>
        <v>0</v>
      </c>
      <c r="AO14" s="1203">
        <f>IF(ISNUMBER(((NºAsuntos!I14/NºAsuntos!G14)*11)/factor_trimestre),((NºAsuntos!I14/NºAsuntos!G14)*11)/factor_trimestre," - ")</f>
        <v>9.2139037433155071</v>
      </c>
      <c r="AP14" s="1213" t="str">
        <f>IF(ISNUMBER(Datos!CI14/Datos!CJ14),Datos!CI14/Datos!CJ14," - ")</f>
        <v xml:space="preserve"> - </v>
      </c>
      <c r="AQ14" s="1236">
        <f t="shared" ref="AQ14:AV14" si="4">SUBTOTAL(9,AQ9:AQ13)</f>
        <v>0</v>
      </c>
      <c r="AR14" s="1236">
        <f t="shared" si="4"/>
        <v>-0.33454106280193235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1148</v>
      </c>
      <c r="G17" s="552">
        <f>IF(ISNUMBER(IF(D_I="SI",Datos!I17,Datos!I17+Datos!AC17)),IF(D_I="SI",Datos!I17,Datos!I17+Datos!AC17)," - ")</f>
        <v>1148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497</v>
      </c>
      <c r="Z17" s="805">
        <f>IF(ISNUMBER(Datos!Q17),Datos!Q17," - ")</f>
        <v>12</v>
      </c>
      <c r="AA17" s="551">
        <f>IF(ISNUMBER(IF(D_I="SI",Datos!L17,Datos!L17+Datos!AF17)),IF(D_I="SI",Datos!L17,Datos!L17+Datos!AF17)," - ")</f>
        <v>1205</v>
      </c>
      <c r="AB17" s="549"/>
      <c r="AC17" s="549"/>
      <c r="AD17" s="563"/>
      <c r="AE17" s="563">
        <f>IF(ISNUMBER(Datos!R17),Datos!R17," - ")</f>
        <v>131</v>
      </c>
      <c r="AF17" s="693" t="str">
        <f>IF(ISNUMBER(Datos!BV17),Datos!BV17," - ")</f>
        <v xml:space="preserve"> - </v>
      </c>
      <c r="AG17" s="552"/>
      <c r="AH17" s="553"/>
      <c r="AI17" s="554"/>
      <c r="AJ17" s="552">
        <f>IF(ISNUMBER(Datos!M17),Datos!M17," - ")</f>
        <v>80</v>
      </c>
      <c r="AK17" s="693">
        <f>IF(ISNUMBER(Datos!N17),Datos!N17," - ")</f>
        <v>210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7.2736418511066399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88</v>
      </c>
      <c r="Z18" s="805">
        <f>IF(ISNUMBER(Datos!Q18),Datos!Q18," - ")</f>
        <v>1</v>
      </c>
      <c r="AA18" s="551">
        <f>IF(ISNUMBER(Datos!L18),Datos!L18,"-")</f>
        <v>65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2.2159090909090908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1148</v>
      </c>
      <c r="G23" s="1197">
        <f>SUBTOTAL(9,G16:G22)</f>
        <v>1227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585</v>
      </c>
      <c r="Z23" s="1240">
        <f t="shared" si="6"/>
        <v>13</v>
      </c>
      <c r="AA23" s="1240">
        <f t="shared" si="6"/>
        <v>1270</v>
      </c>
      <c r="AB23" s="1240">
        <f t="shared" si="6"/>
        <v>0</v>
      </c>
      <c r="AC23" s="1240">
        <f t="shared" si="6"/>
        <v>0</v>
      </c>
      <c r="AD23" s="1240">
        <f t="shared" si="6"/>
        <v>0</v>
      </c>
      <c r="AE23" s="1240">
        <f t="shared" si="6"/>
        <v>132</v>
      </c>
      <c r="AF23" s="1240">
        <f t="shared" si="6"/>
        <v>0</v>
      </c>
      <c r="AG23" s="1240">
        <f t="shared" si="6"/>
        <v>0</v>
      </c>
      <c r="AH23" s="1240">
        <f t="shared" si="6"/>
        <v>0</v>
      </c>
      <c r="AI23" s="1240">
        <f t="shared" si="6"/>
        <v>0</v>
      </c>
      <c r="AJ23" s="1240">
        <f t="shared" si="6"/>
        <v>91</v>
      </c>
      <c r="AK23" s="1240">
        <f t="shared" si="6"/>
        <v>243</v>
      </c>
      <c r="AL23" s="1240">
        <f t="shared" si="6"/>
        <v>0</v>
      </c>
      <c r="AM23" s="1240">
        <f t="shared" si="6"/>
        <v>0</v>
      </c>
      <c r="AN23" s="1240">
        <f t="shared" si="6"/>
        <v>0</v>
      </c>
      <c r="AO23" s="1242">
        <f>IF(ISNUMBER(((NºAsuntos!I23/NºAsuntos!G23)*11)/factor_trimestre),((NºAsuntos!I23/NºAsuntos!G23)*11)/factor_trimestre," - ")</f>
        <v>6.5128205128205119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1182</v>
      </c>
      <c r="G31" s="1117">
        <f t="shared" si="12"/>
        <v>1261</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589</v>
      </c>
      <c r="Z31" s="1124">
        <f t="shared" si="13"/>
        <v>177</v>
      </c>
      <c r="AA31" s="1125">
        <f t="shared" si="13"/>
        <v>1302</v>
      </c>
      <c r="AB31" s="1125">
        <f t="shared" si="13"/>
        <v>0</v>
      </c>
      <c r="AC31" s="1125">
        <f t="shared" si="13"/>
        <v>0</v>
      </c>
      <c r="AD31" s="1126">
        <f t="shared" si="13"/>
        <v>0</v>
      </c>
      <c r="AE31" s="1126">
        <f t="shared" si="13"/>
        <v>1788</v>
      </c>
      <c r="AF31" s="1127">
        <f t="shared" si="13"/>
        <v>0</v>
      </c>
      <c r="AG31" s="1128">
        <f t="shared" si="13"/>
        <v>0</v>
      </c>
      <c r="AH31" s="1129">
        <f t="shared" si="13"/>
        <v>0</v>
      </c>
      <c r="AI31" s="1127">
        <f t="shared" si="13"/>
        <v>0</v>
      </c>
      <c r="AJ31" s="1117">
        <f t="shared" si="13"/>
        <v>264</v>
      </c>
      <c r="AK31" s="1117">
        <f t="shared" si="13"/>
        <v>342</v>
      </c>
      <c r="AL31" s="1117">
        <f t="shared" si="13"/>
        <v>0</v>
      </c>
      <c r="AM31" s="1130">
        <f t="shared" si="13"/>
        <v>0</v>
      </c>
      <c r="AN31" s="1120">
        <f>IF(ISNUMBER(Datos!K31/Datos!J31),Datos!K31/Datos!J31," - ")</f>
        <v>0.90499590499590499</v>
      </c>
      <c r="AO31" s="1120">
        <f>IF(ISNUMBER(FIND("06",Criterios!A8,1)),(IF(ISNUMBER(((Datos!R31/Datos!Q31)*11)/factor_trimestre),((Datos!R31/Datos!Q31)*11)/factor_trimestre," - ")),(IF(ISNUMBER(((Datos!L31/Datos!K31)*11)/factor_trimestre),((Datos!L31/Datos!K31)*11)/factor_trimestre," - ")))</f>
        <v>7.8733031674208149</v>
      </c>
      <c r="AP31" s="1131" t="str">
        <f>IF(ISNUMBER(Datos!CI31/Datos!CJ31),Datos!CI31/Datos!CJ31," - ")</f>
        <v xml:space="preserve"> - </v>
      </c>
      <c r="AQ31" s="1131">
        <f>IF(OR(ISNUMBER(FIND("01",Criterios!A8,1)),ISNUMBER(FIND("02",Criterios!A8,1)),ISNUMBER(FIND("03",Criterios!A8,1)),ISNUMBER(FIND("04",Criterios!A8,1))),(J31-Y31+K31)/(F31-K31),(I31-Y31+K31)/(F31-K31))</f>
        <v>-0.49830795262267341</v>
      </c>
      <c r="AR31" s="1131">
        <f>IF(ISNUMBER((Datos!P31-Datos!Q31+O31)/(Datos!R31-Datos!P31+Datos!Q31-O31)),(Datos!P31-Datos!Q31+O31)/(Datos!R31-Datos!P31+Datos!Q31-O31)," - ")</f>
        <v>-5.008347245409015E-3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584.24378473373599</v>
      </c>
      <c r="G33" s="674">
        <f>IF(ISNUMBER(STDEV(G8:G30)),STDEV(G8:G30),"-")</f>
        <v>566.17803863146389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74.764391830030192</v>
      </c>
      <c r="AK33" s="276"/>
      <c r="AL33" s="276">
        <f>IF(ISNUMBER(STDEV(AL8:AL30)),STDEV(AL8:AL30),"-")</f>
        <v>0</v>
      </c>
      <c r="AM33" s="278">
        <f>IF(ISNUMBER(STDEV(AM8:AM30)),STDEV(AM8:AM30),"-")</f>
        <v>0</v>
      </c>
      <c r="AN33" s="660">
        <f>IF(ISNUMBER(STDEV(AN8:AN30)),STDEV(AN8:AN30),"-")</f>
        <v>0</v>
      </c>
      <c r="AO33" s="661">
        <f>IF(ISNUMBER(STDEV(AO8:AO30)),STDEV(AO8:AO30),"-")</f>
        <v>7.4448836992224416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i1JdbiYJciy8drYeJaXHy5agckPe+CQINps1gz52UByTjjOyDt0HeK5HiiIYS3FOKctfXuobE2uSiHy+ma0uA==" saltValue="whR/+cOBxrosz6mONHej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JdvQZvs8gFEUBJxI0GrRdpK8m9dfkQvpT+OhOFQQaxtDLt9J3daHDrjxmHXmRmxbM3TBi+WcL5mSOgOUkrF6w==" saltValue="fs+MRSMaWanuUu5/hLuW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DUkjeQLtgJSQQaoK38KAzB0aFFUD1drC/iDOQiWpvS9goSuxfHNukNqSzZZuvV2bLVlKjIHZHBBThdowzLg==" saltValue="E6fh0JbtU0SmqizbB+CE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RIBEIRA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0.30837789661319071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0.21805610186323121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JsN8O7Y8IBPR0LHQIFi7la0q3x27HAMQ60gbBBtNZFQyVsLhCZ7RUEr7Dxtv2/nzVejzA+tez9gsMdZ9Cb6eg==" saltValue="HVbtQuRX4GhqRtq1dK6n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k/dkAR+Lnf4Cn5ckNYFIk/Xc3dkjy1ChR+3U53O4yODBsDESchNoSjjix7FNEIimoW6jppwhSM+K4hKMGd3Rw==" saltValue="HzpAcP84rQpFhXmGvLx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RIBEIRA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2</v>
      </c>
      <c r="F10" s="452">
        <f>IF(ISNUMBER(E10/B10),E10/B10," - ")</f>
        <v>2</v>
      </c>
      <c r="G10" s="451">
        <f>IF(ISNUMBER(Datos!K10),Datos!K10," - ")</f>
        <v>4</v>
      </c>
      <c r="H10" s="452">
        <f>IF(ISNUMBER(G10/B10),G10/B10," - ")</f>
        <v>4</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1607</v>
      </c>
      <c r="D12" s="452">
        <f>IF(ISNUMBER(C12/Datos!BH12),C12/Datos!BH12," - ")</f>
        <v>535.66666666666663</v>
      </c>
      <c r="E12" s="451">
        <f>IF(ISNUMBER(IF(J_V="SI",Datos!J12,Datos!J12+Datos!Z12)),IF(J_V="SI",Datos!J12,Datos!J12+Datos!Z12)," - ")</f>
        <v>641</v>
      </c>
      <c r="F12" s="452">
        <f>IF(ISNUMBER(E12/B12),E12/B12," - ")</f>
        <v>213.66666666666666</v>
      </c>
      <c r="G12" s="451">
        <f>IF(ISNUMBER(IF(J_V="SI",Datos!K12,Datos!K12+Datos!AA12)),IF(J_V="SI",Datos!K12,Datos!K12+Datos!AA12)," - ")</f>
        <v>557</v>
      </c>
      <c r="H12" s="452">
        <f>IF(ISNUMBER(G12/B12),G12/B12," - ")</f>
        <v>185.66666666666666</v>
      </c>
      <c r="I12" s="451">
        <f>IF(ISNUMBER(IF(J_V="SI",Datos!L12,Datos!L12+Datos!AB12)),IF(J_V="SI",Datos!L12,Datos!L12+Datos!AB12)," - ")</f>
        <v>1691</v>
      </c>
      <c r="J12" s="452">
        <f>IF(ISNUMBER(I12/B12),I12/B12," - ")</f>
        <v>563.66666666666663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1641</v>
      </c>
      <c r="D14" s="1147" t="str">
        <f>IF(ISNUMBER(C14/Datos!BI14),C14/Datos!BI14," - ")</f>
        <v xml:space="preserve"> - </v>
      </c>
      <c r="E14" s="1146">
        <f>SUBTOTAL(9,E8:E13)</f>
        <v>643</v>
      </c>
      <c r="F14" s="1147">
        <f>IF(ISNUMBER(E14/B14),E14/B14," - ")</f>
        <v>214.33333333333334</v>
      </c>
      <c r="G14" s="1146">
        <f>SUBTOTAL(9,G8:G13)</f>
        <v>561</v>
      </c>
      <c r="H14" s="1147">
        <f>IF(ISNUMBER(G14/B14),G14/B14," - ")</f>
        <v>187</v>
      </c>
      <c r="I14" s="1146">
        <f>SUBTOTAL(9,I8:I13)</f>
        <v>1723</v>
      </c>
      <c r="J14" s="1147">
        <f>IF(ISNUMBER(I14/B14),I14/B14," - ")</f>
        <v>574.33333333333337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1148</v>
      </c>
      <c r="D17" s="452">
        <f>IF(ISNUMBER(C17/Datos!BH17),C17/Datos!BH17," - ")</f>
        <v>382.66666666666669</v>
      </c>
      <c r="E17" s="451">
        <f>IF(ISNUMBER(IF(D_I="SI",Datos!J17,Datos!J17+Datos!AD17)),IF(D_I="SI",Datos!J17,Datos!J17+Datos!AD17)," - ")</f>
        <v>554</v>
      </c>
      <c r="F17" s="452">
        <f>IF(ISNUMBER(E17/B17),E17/B17," - ")</f>
        <v>184.66666666666666</v>
      </c>
      <c r="G17" s="451">
        <f>IF(ISNUMBER(IF(D_I="SI",Datos!K17,Datos!K17+Datos!AE17)),IF(D_I="SI",Datos!K17,Datos!K17+Datos!AE17)," - ")</f>
        <v>497</v>
      </c>
      <c r="H17" s="452">
        <f>IF(ISNUMBER(G17/B17),G17/B17," - ")</f>
        <v>165.66666666666666</v>
      </c>
      <c r="I17" s="451">
        <f>IF(ISNUMBER(IF(D_I="SI",Datos!L17,Datos!L17+Datos!AF17)),IF(D_I="SI",Datos!L17,Datos!L17+Datos!AF17)," - ")</f>
        <v>1205</v>
      </c>
      <c r="J17" s="452">
        <f>IF(ISNUMBER(I17/B17),I17/B17," - ")</f>
        <v>401.66666666666669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74</v>
      </c>
      <c r="F18" s="452">
        <f>IF(ISNUMBER(E18/B18),E18/B18," - ")</f>
        <v>74</v>
      </c>
      <c r="G18" s="451">
        <f>IF(ISNUMBER(IF(D_I="SI",Datos!K18,Datos!K18+Datos!AE18)),IF(D_I="SI",Datos!K18,Datos!K18+Datos!AE18)," - ")</f>
        <v>88</v>
      </c>
      <c r="H18" s="452">
        <f>IF(ISNUMBER(G18/B18),G18/B18," - ")</f>
        <v>88</v>
      </c>
      <c r="I18" s="451">
        <f>IF(ISNUMBER(IF(D_I="SI",Datos!L18,Datos!L18+Datos!AF18)),IF(D_I="SI",Datos!L18,Datos!L18+Datos!AF18)," - ")</f>
        <v>65</v>
      </c>
      <c r="J18" s="452">
        <f>IF(ISNUMBER(I18/B18),I18/B18," - ")</f>
        <v>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1227</v>
      </c>
      <c r="D23" s="1147" t="str">
        <f>IF(ISNUMBER(C23/Datos!BI23),C23/Datos!BI23," - ")</f>
        <v xml:space="preserve"> - </v>
      </c>
      <c r="E23" s="1146">
        <f>SUBTOTAL(9,E15:E22)</f>
        <v>628</v>
      </c>
      <c r="F23" s="1147">
        <f>IF(ISNUMBER(E23/B23),E23/B23," - ")</f>
        <v>209.33333333333334</v>
      </c>
      <c r="G23" s="1146">
        <f>SUBTOTAL(9,G15:G22)</f>
        <v>585</v>
      </c>
      <c r="H23" s="1147">
        <f>IF(ISNUMBER(G23/B23),G23/B23," - ")</f>
        <v>195</v>
      </c>
      <c r="I23" s="1146">
        <f>SUBTOTAL(9,I15:I22)</f>
        <v>1270</v>
      </c>
      <c r="J23" s="1147">
        <f>IF(ISNUMBER(I23/B23),I23/B23," - ")</f>
        <v>423.33333333333331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2868</v>
      </c>
      <c r="D31" s="1085" t="str">
        <f>IF(ISNUMBER(C31/Datos!BI31),C31/Datos!BI31," - ")</f>
        <v xml:space="preserve"> - </v>
      </c>
      <c r="E31" s="1084">
        <f>SUBTOTAL(9,E9:E30)</f>
        <v>1271</v>
      </c>
      <c r="F31" s="1085">
        <f>IF(ISNUMBER(E31/B31),E31/B31," - ")</f>
        <v>423.66666666666669</v>
      </c>
      <c r="G31" s="1084">
        <f>SUBTOTAL(9,G9:G30)</f>
        <v>1146</v>
      </c>
      <c r="H31" s="1085">
        <f>IF(ISNUMBER(G31/B31),G31/B31," - ")</f>
        <v>382</v>
      </c>
      <c r="I31" s="1084">
        <f>SUBTOTAL(9,I9:I30)</f>
        <v>2993</v>
      </c>
      <c r="J31" s="1085">
        <f>IF(ISNUMBER(I31/B31),I31/B31," - ")</f>
        <v>997.66666666666663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5k5J4gKanNu1K5htOpimSegGS8e4kRDxZWBj6Of9QggsSFZ6cIG9eqIBBh53mSOKW9lUBWYPS6Me+i2fFz0EA==" saltValue="hbFXQG3d9hvWdADXyNzU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RIBEIRA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171</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9.1077199281867145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-1.2077294685990338E-3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162</v>
      </c>
      <c r="AE14" s="1257">
        <f t="shared" si="1"/>
        <v>0</v>
      </c>
      <c r="AF14" s="1257">
        <f t="shared" si="1"/>
        <v>32</v>
      </c>
      <c r="AG14" s="1257">
        <f t="shared" si="1"/>
        <v>0</v>
      </c>
      <c r="AH14" s="1257">
        <f t="shared" si="1"/>
        <v>1654</v>
      </c>
      <c r="AI14" s="1257">
        <f t="shared" si="1"/>
        <v>0</v>
      </c>
      <c r="AJ14" s="1257">
        <f t="shared" si="1"/>
        <v>0</v>
      </c>
      <c r="AK14" s="1257">
        <f t="shared" si="1"/>
        <v>0</v>
      </c>
      <c r="AL14" s="1257">
        <f t="shared" si="1"/>
        <v>173</v>
      </c>
      <c r="AM14" s="1257">
        <f t="shared" si="1"/>
        <v>99</v>
      </c>
      <c r="AN14" s="1257">
        <f t="shared" si="1"/>
        <v>0</v>
      </c>
      <c r="AO14" s="1257">
        <f t="shared" si="1"/>
        <v>0</v>
      </c>
      <c r="AP14" s="1262">
        <f>IF(ISNUMBER(((Datos!L14/Datos!K14)*11)/factor_trimestre),((Datos!L14/Datos!K14)*11)/factor_trimestre," - ")</f>
        <v>9.4038461538461551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-0.11764705882352941</v>
      </c>
      <c r="AU14" s="1257" t="str">
        <f>IF(ISNUMBER((DatosP!#REF!-DatosP!#REF!+DatosP!#REF!)/(DatosP!#REF!+DatosP!#REF!-DatosP!#REF!-DatosP!#REF!)),(DatosP!#REF!-DatosP!#REF!+DatosP!#REF!)/(DatosP!#REF!+DatosP!#REF!-DatosP!#REF!-DatosP!#REF!)," - ")</f>
        <v xml:space="preserve"> - </v>
      </c>
      <c r="AV14" s="1263">
        <f>SUBTOTAL(9,AV9:AV13)</f>
        <v>-1.2077294685990338E-3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6.5128205128205119</v>
      </c>
      <c r="AQ23" s="1262">
        <f>IF(ISNUMBER(((Datos!M23/Datos!L23)*11)/factor_trimestre),((Datos!M23/Datos!L23)*11)/factor_trimestre," - ")</f>
        <v>0.21496062992125986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-8.7499999999999994E-2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162</v>
      </c>
      <c r="AE31" s="1284">
        <f t="shared" si="9"/>
        <v>0</v>
      </c>
      <c r="AF31" s="1285">
        <f t="shared" si="9"/>
        <v>32</v>
      </c>
      <c r="AG31" s="1285">
        <f t="shared" si="9"/>
        <v>0</v>
      </c>
      <c r="AH31" s="1285">
        <f t="shared" si="9"/>
        <v>1654</v>
      </c>
      <c r="AI31" s="1285">
        <f t="shared" si="9"/>
        <v>0</v>
      </c>
      <c r="AJ31" s="1286">
        <f t="shared" si="9"/>
        <v>0</v>
      </c>
      <c r="AK31" s="1286">
        <f t="shared" si="9"/>
        <v>0</v>
      </c>
      <c r="AL31" s="1278">
        <f t="shared" si="9"/>
        <v>173</v>
      </c>
      <c r="AM31" s="1278">
        <f t="shared" si="9"/>
        <v>99</v>
      </c>
      <c r="AN31" s="1278">
        <f t="shared" si="9"/>
        <v>0</v>
      </c>
      <c r="AO31" s="1278">
        <f t="shared" si="9"/>
        <v>0</v>
      </c>
      <c r="AP31" s="1278">
        <f>IF(ISNUMBER(((Datos!L31/Datos!K31)*11)/factor_trimestre),((Datos!L31/Datos!K31)*11)/factor_trimestre," - ")</f>
        <v>7.8733031674208149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-0.11764705882352941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-5.008347245409015E-3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88.567864751650561</v>
      </c>
      <c r="AM33" s="1006"/>
      <c r="AN33" s="1006">
        <f>IF(ISNUMBER(STDEV(AN8:AN30)),STDEV(AN8:AN30),"-")</f>
        <v>0</v>
      </c>
      <c r="AO33" s="1012">
        <f>IF(ISNUMBER(STDEV(AO8:AO30)),STDEV(AO8:AO30),"-")</f>
        <v>0</v>
      </c>
      <c r="AP33" s="1065">
        <f>IF(ISNUMBER(STDEV(AP8:AP30)),STDEV(AP8:AP30),"-")</f>
        <v>7.9362479706996387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d2YalqMnSufh0fd+pxPQfT3SGCY6cIBfqNnQMfE73SYwhrardh0yRzUsQetvzn+txvHQ+VVun1sG0HNTs6gSw==" saltValue="qjRSmDgc06VW6Jqz3U0S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RIBEIRA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IWLUfwVGxfFMlizik0Sk1ZbBtg60ynPUXwGhRtncCJJpWrs+Zjs6KvXCFLKekccZXAqmqOFkORg7J6ckCRu0w==" saltValue="ipWYqumeXdbfLQdDUK/T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RIBEIRA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171</v>
      </c>
      <c r="E12" s="452">
        <f t="shared" si="0"/>
        <v>57</v>
      </c>
      <c r="F12" s="451">
        <f>IF(ISNUMBER(Datos!N12),Datos!N12," - ")</f>
        <v>99</v>
      </c>
      <c r="G12" s="452">
        <f t="shared" si="1"/>
        <v>33</v>
      </c>
      <c r="H12" s="451">
        <f>IF(ISNUMBER(Datos!O12),Datos!O12," - ")</f>
        <v>318</v>
      </c>
      <c r="I12" s="452">
        <f t="shared" si="2"/>
        <v>106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173</v>
      </c>
      <c r="E14" s="1147">
        <f t="shared" si="0"/>
        <v>43.25</v>
      </c>
      <c r="F14" s="1146">
        <f>SUBTOTAL(9,F9:F13)</f>
        <v>99</v>
      </c>
      <c r="G14" s="1147">
        <f t="shared" si="1"/>
        <v>24.75</v>
      </c>
      <c r="H14" s="1146">
        <f>SUBTOTAL(9,H9:H13)</f>
        <v>318</v>
      </c>
      <c r="I14" s="1147">
        <f>IF(ISNUMBER(H14/B14),H14/B14," - ")</f>
        <v>79.5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80</v>
      </c>
      <c r="E17" s="452">
        <f t="shared" si="3"/>
        <v>26.666666666666668</v>
      </c>
      <c r="F17" s="451">
        <f>IF(ISNUMBER(Datos!N17),Datos!N17," - ")</f>
        <v>210</v>
      </c>
      <c r="G17" s="452">
        <f t="shared" si="4"/>
        <v>70</v>
      </c>
      <c r="H17" s="451">
        <f>IF(ISNUMBER(Datos!O17),Datos!O17," - ")</f>
        <v>3</v>
      </c>
      <c r="I17" s="452">
        <f t="shared" si="5"/>
        <v>1</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91</v>
      </c>
      <c r="E23" s="1147">
        <f t="shared" si="3"/>
        <v>22.75</v>
      </c>
      <c r="F23" s="1146">
        <f>SUBTOTAL(9,F16:F22)</f>
        <v>243</v>
      </c>
      <c r="G23" s="1147">
        <f t="shared" si="4"/>
        <v>60.75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264</v>
      </c>
      <c r="E31" s="1085">
        <f>IF(ISNUMBER(D31/B31),D31/B31," - ")</f>
        <v>88</v>
      </c>
      <c r="F31" s="1084">
        <f>SUBTOTAL(9,F8:F30)</f>
        <v>342</v>
      </c>
      <c r="G31" s="1085">
        <f>IF(ISNUMBER(F31/B31),F31/B31," - ")</f>
        <v>114</v>
      </c>
      <c r="H31" s="1084">
        <f>SUBTOTAL(9,H8:H30)</f>
        <v>321</v>
      </c>
      <c r="I31" s="1085">
        <f>IF(ISNUMBER(H31/B31),H31/B31," - ")</f>
        <v>107</v>
      </c>
    </row>
    <row r="34" spans="1:1">
      <c r="A34" s="439" t="str">
        <f>Criterios!A4</f>
        <v>Fecha Informe: 05 may. 2023</v>
      </c>
    </row>
    <row r="39" spans="1:1">
      <c r="A39" s="462"/>
    </row>
  </sheetData>
  <sheetProtection algorithmName="SHA-512" hashValue="iHRFwmkjvJw/iuOLJIx9iXTPwG2TxB6VXitoBYHNb71SsZcqBn6PWWp8uORj+eMFllw0gaGjbowSzRBAKeMZaw==" saltValue="Rc2AvA3KKSzM2DQn1R17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RIBEIRA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162</v>
      </c>
      <c r="D12" s="456">
        <f>IF(ISNUMBER(Datos!R12),Datos!R12," - ")</f>
        <v>1654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164</v>
      </c>
      <c r="D14" s="1148">
        <f>SUBTOTAL(9,D9:D13)</f>
        <v>1656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12</v>
      </c>
      <c r="D17" s="456">
        <f>IF(ISNUMBER(Datos!R17),Datos!R17," - ")</f>
        <v>131</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13</v>
      </c>
      <c r="D23" s="1148">
        <f>SUBTOTAL(9,D16:D22)</f>
        <v>132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177</v>
      </c>
      <c r="D31" s="1090">
        <f>SUBTOTAL(9,D8:D30)</f>
        <v>1788</v>
      </c>
    </row>
    <row r="32" spans="1:4" ht="7.5" customHeight="1"/>
    <row r="33" spans="1:1" ht="6" customHeight="1"/>
    <row r="34" spans="1:1">
      <c r="A34" s="439" t="str">
        <f>Criterios!A4</f>
        <v>Fecha Informe: 05 may. 2023</v>
      </c>
    </row>
    <row r="39" spans="1:1">
      <c r="A39" s="462"/>
    </row>
  </sheetData>
  <sheetProtection algorithmName="SHA-512" hashValue="28dSFYSoez9kYpyoTiQOXN6D/EFZ3P0rW7zRSDDgY+XhFWwd+0QHoFtpSCP/Rec6uxJvHi/Maellk9oCcpxRxg==" saltValue="yMrC6RWhaMTKa0DvN1Kj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RIBEIRA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-2.8571428571428571E-2</v>
      </c>
      <c r="C10" s="515">
        <f>IF(ISNUMBER((Datos!J10-Datos!T10)/Datos!T10),(Datos!J10-Datos!T10)/Datos!T10," - ")</f>
        <v>1</v>
      </c>
      <c r="D10" s="515" t="str">
        <f>IF(ISNUMBER((Datos!K10-Datos!U10)/Datos!U10),(Datos!K10-Datos!U10)/Datos!U10," - ")</f>
        <v xml:space="preserve"> - </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0.19479553903345725</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0.3261904761904762</v>
      </c>
      <c r="E12" s="515">
        <f>IF(ISNUMBER(
   IF(J_V="SI",(Datos!L12-Datos!V12)/Datos!V12,(Datos!L12+Datos!AB12-(Datos!V12+Datos!AJ12))/(Datos!V12+Datos!AJ12))
     ),IF(J_V="SI",(Datos!L12-Datos!V12)/Datos!V12,(Datos!L12+Datos!AB12-(Datos!V12+Datos!AJ12))/(Datos!V12+Datos!AJ12))," - ")</f>
        <v>7.9821200510855686E-2</v>
      </c>
      <c r="F12" s="515">
        <f>IF(ISNUMBER((Datos!M12-Datos!W12)/Datos!W12),(Datos!M12-Datos!W12)/Datos!W12," - ")</f>
        <v>0.16326530612244897</v>
      </c>
      <c r="G12" s="516">
        <f>IF(ISNUMBER((Datos!N12-Datos!X12)/Datos!X12),(Datos!N12-Datos!X12)/Datos!X12," - ")</f>
        <v>-0.1</v>
      </c>
      <c r="H12" s="514">
        <f>IF(ISNUMBER(((NºAsuntos!G12/NºAsuntos!E12)-Datos!BD12)/Datos!BD12),((NºAsuntos!G12/NºAsuntos!E12)-Datos!BD12)/Datos!BD12," - ")</f>
        <v>0.32619047619047625</v>
      </c>
      <c r="I12" s="515">
        <f>IF(ISNUMBER(((NºAsuntos!I12/NºAsuntos!G12)-Datos!BE12)/Datos!BE12),((NºAsuntos!I12/NºAsuntos!G12)-Datos!BE12)/Datos!BE12," - ")</f>
        <v>-0.18577216478535116</v>
      </c>
      <c r="J12" s="521">
        <f>IF(ISNUMBER((('Resol  Asuntos'!D12/NºAsuntos!G12)-Datos!BF12)/Datos!BF12),(('Resol  Asuntos'!D12/NºAsuntos!G12)-Datos!BF12)/Datos!BF12," - ")</f>
        <v>0.17218867308633912</v>
      </c>
      <c r="K12" s="522">
        <f>IF(ISNUMBER((((NºAsuntos!C12+NºAsuntos!E12)/NºAsuntos!G12)-Datos!BG12)/Datos!BG12),(((NºAsuntos!C12+NºAsuntos!E12)/NºAsuntos!G12)-Datos!BG12)/Datos!BG12," - ")</f>
        <v>-0.14648500002711989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0.18913043478260869</v>
      </c>
      <c r="C14" s="1152">
        <f>IF(ISNUMBER(
   IF(J_V="SI",(Datos!J14-Datos!T14)/Datos!T14,(Datos!J14+Datos!Z14-(Datos!T14+Datos!AH14))/(Datos!T14+Datos!AH14))
     ),IF(J_V="SI",(Datos!J14-Datos!T14)/Datos!T14,(Datos!J14+Datos!Z14-(Datos!T14+Datos!AH14))/(Datos!T14+Datos!AH14))," - ")</f>
        <v>1.557632398753894E-3</v>
      </c>
      <c r="D14" s="1152">
        <f>IF(ISNUMBER(
   IF(J_V="SI",(Datos!K14-Datos!U14)/Datos!U14,(Datos!K14+Datos!AA14-(Datos!U14+Datos!AI14))/(Datos!U14+Datos!AI14))
     ),IF(J_V="SI",(Datos!K14-Datos!U14)/Datos!U14,(Datos!K14+Datos!AA14-(Datos!U14+Datos!AI14))/(Datos!U14+Datos!AI14))," - ")</f>
        <v>0.33571428571428569</v>
      </c>
      <c r="E14" s="1152">
        <f>IF(ISNUMBER(
   IF(J_V="SI",(Datos!L14-Datos!V14)/Datos!V14,(Datos!L14+Datos!AB14-(Datos!V14+Datos!AJ14))/(Datos!V14+Datos!AJ14))
     ),IF(J_V="SI",(Datos!L14-Datos!V14)/Datos!V14,(Datos!L14+Datos!AB14-(Datos!V14+Datos!AJ14))/(Datos!V14+Datos!AJ14))," - ")</f>
        <v>7.5530586766541827E-2</v>
      </c>
      <c r="F14" s="1153">
        <f>IF(ISNUMBER((Datos!M14-Datos!W14)/Datos!W14),(Datos!M14-Datos!W14)/Datos!W14," - ")</f>
        <v>0.17687074829931973</v>
      </c>
      <c r="G14" s="1154">
        <f>IF(ISNUMBER((Datos!N14-Datos!X14)/Datos!X14),(Datos!N14-Datos!X14)/Datos!X14," - ")</f>
        <v>-0.1</v>
      </c>
      <c r="H14" s="1154">
        <f>IF(ISNUMBER(((NºAsuntos!G14/NºAsuntos!E14)-Datos!BD14)/Datos!BD14),((NºAsuntos!G14/NºAsuntos!E14)-Datos!BD14)/Datos!BD14," - ")</f>
        <v>0.33363696956231959</v>
      </c>
      <c r="I14" s="1154">
        <f>IF(ISNUMBER(((NºAsuntos!I14/NºAsuntos!G14)-Datos!BE14)/Datos!BE14),((NºAsuntos!I14/NºAsuntos!G14)-Datos!BE14)/Datos!BE14," - ")</f>
        <v>-0.19478993504109174</v>
      </c>
      <c r="J14" s="1154">
        <f>IF(ISNUMBER((('Resol  Asuntos'!D14/NºAsuntos!G14)-Datos!BF14)/Datos!BF14),(('Resol  Asuntos'!D14/NºAsuntos!G14)-Datos!BF14)/Datos!BF14," - ")</f>
        <v>0.17744287797763716</v>
      </c>
      <c r="K14" s="1154">
        <f>IF(ISNUMBER((((NºAsuntos!C14+NºAsuntos!E14)/NºAsuntos!G14)-Datos!BG14)/Datos!BG14),(((NºAsuntos!C14+NºAsuntos!E14)/NºAsuntos!G14)-Datos!BG14)/Datos!BG14," - ")</f>
        <v>-0.15432911767350582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2.6833631484794274E-2</v>
      </c>
      <c r="C17" s="515">
        <f>IF(ISNUMBER(
   IF(D_I="SI",(Datos!J17-Datos!T17)/Datos!T17,(Datos!J17+Datos!AD17-(Datos!T17+Datos!AL17))/(Datos!T17+Datos!AL17))
     ),IF(D_I="SI",(Datos!J17-Datos!T17)/Datos!T17,(Datos!J17+Datos!AD17-(Datos!T17+Datos!AL17))/(Datos!T17+Datos!AL17))," - ")</f>
        <v>6.7437379576107903E-2</v>
      </c>
      <c r="D17" s="515">
        <f>IF(ISNUMBER(
   IF(D_I="SI",(Datos!K17-Datos!U17)/Datos!U17,(Datos!K17+Datos!AE17-(Datos!U17+Datos!AM17))/(Datos!U17+Datos!AM17))
     ),IF(D_I="SI",(Datos!K17-Datos!U17)/Datos!U17,(Datos!K17+Datos!AE17-(Datos!U17+Datos!AM17))/(Datos!U17+Datos!AM17))," - ")</f>
        <v>-0.11565836298932385</v>
      </c>
      <c r="E17" s="515">
        <f>IF(ISNUMBER(
   IF(D_I="SI",(Datos!L17-Datos!V17)/Datos!V17,(Datos!L17+Datos!AF17-(Datos!V17+Datos!AN17))/(Datos!V17+Datos!AN17))
     ),IF(D_I="SI",(Datos!L17-Datos!V17)/Datos!V17,(Datos!L17+Datos!AF17-(Datos!V17+Datos!AN17))/(Datos!V17+Datos!AN17))," - ")</f>
        <v>0.12093023255813953</v>
      </c>
      <c r="F17" s="515">
        <f>IF(ISNUMBER((Datos!M17-Datos!W17)/Datos!W17),(Datos!M17-Datos!W17)/Datos!W17," - ")</f>
        <v>-0.19191919191919191</v>
      </c>
      <c r="G17" s="516">
        <f>IF(ISNUMBER((Datos!N17-Datos!X17)/Datos!X17),(Datos!N17-Datos!X17)/Datos!X17," - ")</f>
        <v>-0.2976588628762542</v>
      </c>
      <c r="H17" s="514">
        <f>IF(ISNUMBER(((NºAsuntos!G17/NºAsuntos!E17)-Datos!BD17)/Datos!BD17),((NºAsuntos!G17/NºAsuntos!E17)-Datos!BD17)/Datos!BD17," - ")</f>
        <v>-0.17152832200624391</v>
      </c>
      <c r="I17" s="515">
        <f>IF(ISNUMBER(((NºAsuntos!I17/NºAsuntos!G17)-Datos!BE17)/Datos!BE17),((NºAsuntos!I17/NºAsuntos!G17)-Datos!BE17)/Datos!BE17," - ")</f>
        <v>0.2675307659912966</v>
      </c>
      <c r="J17" s="521">
        <f>IF(ISNUMBER((('Resol  Asuntos'!D17/NºAsuntos!G17)-Datos!BF17)/Datos!BF17),(('Resol  Asuntos'!D17/NºAsuntos!G17)-Datos!BF17)/Datos!BF17," - ")</f>
        <v>-8.6234579192325606E-2</v>
      </c>
      <c r="K17" s="522">
        <f>IF(ISNUMBER((((NºAsuntos!C17+NºAsuntos!E17)/NºAsuntos!G17)-Datos!BG17)/Datos!BG17),(((NºAsuntos!C17+NºAsuntos!E17)/NºAsuntos!G17)-Datos!BG17)/Datos!BG17," - ")</f>
        <v>0.17568452867479772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-0.35772357723577236</v>
      </c>
      <c r="C18" s="515">
        <f>IF(ISNUMBER(
   IF(D_I="SI",(Datos!J18-Datos!T18)/Datos!T18,(Datos!J18+Datos!AD18-(Datos!T18+Datos!AL18))/(Datos!T18+Datos!AL18))
     ),IF(D_I="SI",(Datos!J18-Datos!T18)/Datos!T18,(Datos!J18+Datos!AD18-(Datos!T18+Datos!AL18))/(Datos!T18+Datos!AL18))," - ")</f>
        <v>1.3698630136986301E-2</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-0.46721311475409838</v>
      </c>
      <c r="F18" s="515">
        <f>IF(ISNUMBER((Datos!M18-Datos!W18)/Datos!W18),(Datos!M18-Datos!W18)/Datos!W18," - ")</f>
        <v>0.375</v>
      </c>
      <c r="G18" s="516">
        <f>IF(ISNUMBER((Datos!N18-Datos!X18)/Datos!X18),(Datos!N18-Datos!X18)/Datos!X18," - ")</f>
        <v>-0.10810810810810811</v>
      </c>
      <c r="H18" s="514">
        <f>IF(ISNUMBER(((NºAsuntos!G18/NºAsuntos!E18)-Datos!BD18)/Datos!BD18),((NºAsuntos!G18/NºAsuntos!E18)-Datos!BD18)/Datos!BD18," - ")</f>
        <v>0.17311906501095692</v>
      </c>
      <c r="I18" s="515">
        <f>IF(ISNUMBER(((NºAsuntos!I18/NºAsuntos!G18)-Datos!BE18)/Datos!BE18),((NºAsuntos!I18/NºAsuntos!G18)-Datos!BE18)/Datos!BE18," - ")</f>
        <v>-0.55197466467958267</v>
      </c>
      <c r="J18" s="521">
        <f>IF(ISNUMBER((('Resol  Asuntos'!D18/NºAsuntos!G18)-Datos!BF18)/Datos!BF18),(('Resol  Asuntos'!D18/NºAsuntos!G18)-Datos!BF18)/Datos!BF18," - ")</f>
        <v>0.15624999999999994</v>
      </c>
      <c r="K18" s="522">
        <f>IF(ISNUMBER((((NºAsuntos!C18+NºAsuntos!E18)/NºAsuntos!G18)-Datos!BG18)/Datos!BG18),(((NºAsuntos!C18+NºAsuntos!E18)/NºAsuntos!G18)-Datos!BG18)/Datos!BG18," - ")</f>
        <v>-0.34357606679035257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-1.1281224818694601E-2</v>
      </c>
      <c r="C23" s="1152">
        <f>IF(ISNUMBER(
   IF(Criterios!B14="SI",(Datos!J23-Datos!T23)/Datos!T23,(Datos!J23+Datos!AD23-(Datos!T23+Datos!AL23))/(Datos!T23+Datos!AL23))
     ),IF(Criterios!B14="SI",(Datos!J23-Datos!T23)/Datos!T23,(Datos!J23+Datos!AD23-(Datos!T23+Datos!AL23))/(Datos!T23+Datos!AL23))," - ")</f>
        <v>6.0810810810810814E-2</v>
      </c>
      <c r="D23" s="1152">
        <f>IF(ISNUMBER(
   IF(Criterios!B14="SI",(Datos!K23-Datos!U23)/Datos!U23,(Datos!K23+Datos!AE23-(Datos!U23+Datos!AM23))/(Datos!U23+Datos!AM23))
     ),IF(Criterios!B14="SI",(Datos!K23-Datos!U23)/Datos!U23,(Datos!K23+Datos!AE23-(Datos!U23+Datos!AM23))/(Datos!U23+Datos!AM23))," - ")</f>
        <v>-8.0188679245283015E-2</v>
      </c>
      <c r="E23" s="1152">
        <f>IF(ISNUMBER(
   IF(Criterios!B14="SI",(Datos!L23-Datos!V23)/Datos!V23,(Datos!L23+Datos!AF23-(Datos!V23+Datos!AN23))/(Datos!V23+Datos!AN23))
     ),IF(Criterios!B14="SI",(Datos!L23-Datos!V23)/Datos!V23,(Datos!L23+Datos!AF23-(Datos!V23+Datos!AN23))/(Datos!V23+Datos!AN23))," - ")</f>
        <v>6.0985797827903088E-2</v>
      </c>
      <c r="F23" s="1153">
        <f>IF(ISNUMBER((Datos!M23-Datos!W23)/Datos!W23),(Datos!M23-Datos!W23)/Datos!W23," - ")</f>
        <v>-0.14953271028037382</v>
      </c>
      <c r="G23" s="1154">
        <f>IF(ISNUMBER((Datos!N23-Datos!X23)/Datos!X23),(Datos!N23-Datos!X23)/Datos!X23," - ")</f>
        <v>-0.2767857142857143</v>
      </c>
      <c r="H23" s="1154">
        <f>IF(ISNUMBER(((NºAsuntos!G23/NºAsuntos!E23)-Datos!BD23)/Datos!BD23),((NºAsuntos!G23/NºAsuntos!E23)-Datos!BD23)/Datos!BD23," - ")</f>
        <v>-0.1329167167407764</v>
      </c>
      <c r="I23" s="1154">
        <f>IF(ISNUMBER(((NºAsuntos!I23/NºAsuntos!G23)-Datos!BE23)/Datos!BE23),((NºAsuntos!I23/NºAsuntos!G23)-Datos!BE23)/Datos!BE23," - ")</f>
        <v>0.15348199558725867</v>
      </c>
      <c r="J23" s="1154">
        <f>IF(ISNUMBER((('Resol  Asuntos'!D23/NºAsuntos!G23)-Datos!BF23)/Datos!BF23),(('Resol  Asuntos'!D23/NºAsuntos!G23)-Datos!BF23)/Datos!BF23," - ")</f>
        <v>-7.5389408099688401E-2</v>
      </c>
      <c r="K23" s="1154">
        <f>IF(ISNUMBER((((NºAsuntos!C23+NºAsuntos!E23)/NºAsuntos!G23)-Datos!BG23)/Datos!BG23),(((NºAsuntos!C23+NºAsuntos!E23)/NºAsuntos!G23)-Datos!BG23)/Datos!BG23," - ")</f>
        <v>0.10022801348496917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9.4238840137352162E-2</v>
      </c>
      <c r="C31" s="1092">
        <f>IF(ISNUMBER(
   IF(J_V="SI",(Datos!J31-Datos!T31)/Datos!T31,(Datos!J31+Datos!Z31-(Datos!T31+Datos!AH31))/(Datos!T31+Datos!AH31))
     ),IF(J_V="SI",(Datos!J31-Datos!T31)/Datos!T31,(Datos!J31+Datos!Z31-(Datos!T31+Datos!AH31))/(Datos!T31+Datos!AH31))," - ")</f>
        <v>2.9983792544570502E-2</v>
      </c>
      <c r="D31" s="1092">
        <f>IF(ISNUMBER(
   IF(J_V="SI",(Datos!K31-Datos!U31)/Datos!U31,(Datos!K31+Datos!AA31-(Datos!U31+Datos!AI31))/(Datos!U31+Datos!AI31))
     ),IF(J_V="SI",(Datos!K31-Datos!U31)/Datos!U31,(Datos!K31+Datos!AA31-(Datos!U31+Datos!AI31))/(Datos!U31+Datos!AI31))," - ")</f>
        <v>8.5227272727272721E-2</v>
      </c>
      <c r="E31" s="1092">
        <f>IF(ISNUMBER(
   IF(J_V="SI",(Datos!L31-Datos!V31)/Datos!V31,(Datos!L31+Datos!AB31-(Datos!V31+Datos!AJ31))/(Datos!V31+Datos!AJ31))
     ),IF(J_V="SI",(Datos!L31-Datos!V31)/Datos!V31,(Datos!L31+Datos!AB31-(Datos!V31+Datos!AJ31))/(Datos!V31+Datos!AJ31))," - ")</f>
        <v>6.9310468024294386E-2</v>
      </c>
      <c r="F31" s="1093">
        <f>IF(ISNUMBER((Datos!M31-Datos!W31)/Datos!W31),(Datos!M31-Datos!W31)/Datos!W31," - ")</f>
        <v>3.937007874015748E-2</v>
      </c>
      <c r="G31" s="1094">
        <f>IF(ISNUMBER((Datos!N31-Datos!X31)/Datos!X31),(Datos!N31-Datos!X31)/Datos!X31," - ")</f>
        <v>-0.23318385650224216</v>
      </c>
      <c r="H31" s="1095">
        <f>IF(ISNUMBER((Tasas!B31-Datos!BD31)/Datos!BD31),(Tasas!B31-Datos!BD31)/Datos!BD31," - ")</f>
        <v>5.3635290751734413E-2</v>
      </c>
      <c r="I31" s="1096">
        <f>IF(ISNUMBER((Tasas!C31-Datos!BE31)/Datos!BE31),(Tasas!C31-Datos!BE31)/Datos!BE31," - ")</f>
        <v>-1.4666793862430307E-2</v>
      </c>
      <c r="J31" s="1097">
        <f>IF(ISNUMBER((Tasas!D31-Datos!BF31)/Datos!BF31),(Tasas!D31-Datos!BF31)/Datos!BF31," - ")</f>
        <v>0.12104615533090443</v>
      </c>
      <c r="K31" s="1097">
        <f>IF(ISNUMBER((Tasas!E31-Datos!BG31)/Datos!BG31),(Tasas!E31-Datos!BG31)/Datos!BG31," - ")</f>
        <v>-1.0649119590387141E-2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zqL0HyXP6NQh3dUU77/yeFJJriT2JQ+Up/NrHUO2hs3Pbg2KDterAaSkXtIJIjinmPMlM8Usrr+Qo81aVKdQQ==" saltValue="GcBO3aE6+chfJxjJRYGW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RIBEIRA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8</v>
      </c>
      <c r="D10" s="499">
        <f>IF(ISNUMBER('Resol  Asuntos'!D10/NºAsuntos!G10),'Resol  Asuntos'!D10/NºAsuntos!G10," - ")</f>
        <v>0.5</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0.86895475819032764</v>
      </c>
      <c r="C12" s="498">
        <f>IF(ISNUMBER(NºAsuntos!I12/NºAsuntos!G12),NºAsuntos!I12/NºAsuntos!G12," - ")</f>
        <v>3.035906642728905</v>
      </c>
      <c r="D12" s="499">
        <f>IF(ISNUMBER('Resol  Asuntos'!D12/NºAsuntos!G12),'Resol  Asuntos'!D12/NºAsuntos!G12," - ")</f>
        <v>0.30700179533213645</v>
      </c>
      <c r="E12" s="500">
        <f>IF(ISNUMBER((NºAsuntos!C12+NºAsuntos!E12)/NºAsuntos!G12),(NºAsuntos!C12+NºAsuntos!E12)/NºAsuntos!G12," - ")</f>
        <v>4.0359066427289045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0.8724727838258165</v>
      </c>
      <c r="C14" s="1156">
        <f>IF(ISNUMBER(NºAsuntos!I14/NºAsuntos!G14),NºAsuntos!I14/NºAsuntos!G14," - ")</f>
        <v>3.071301247771836</v>
      </c>
      <c r="D14" s="1157">
        <f>IF(ISNUMBER('Resol  Asuntos'!D14/NºAsuntos!G14),'Resol  Asuntos'!D14/NºAsuntos!G14," - ")</f>
        <v>0.30837789661319071</v>
      </c>
      <c r="E14" s="1158">
        <f>IF(ISNUMBER((NºAsuntos!C14+NºAsuntos!E14)/NºAsuntos!G14),(NºAsuntos!C14+NºAsuntos!E14)/NºAsuntos!G14," - ")</f>
        <v>4.071301247771836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0.8971119133574007</v>
      </c>
      <c r="C17" s="498">
        <f>IF(ISNUMBER(NºAsuntos!I17/NºAsuntos!G17),NºAsuntos!I17/NºAsuntos!G17," - ")</f>
        <v>2.4245472837022133</v>
      </c>
      <c r="D17" s="499">
        <f>IF(ISNUMBER('Resol  Asuntos'!D17/NºAsuntos!G17),'Resol  Asuntos'!D17/NºAsuntos!G17," - ")</f>
        <v>0.16096579476861167</v>
      </c>
      <c r="E17" s="500">
        <f>IF(ISNUMBER((NºAsuntos!C17+NºAsuntos!E17)/NºAsuntos!G17),(NºAsuntos!C17+NºAsuntos!E17)/NºAsuntos!G17," - ")</f>
        <v>3.4245472837022133</v>
      </c>
      <c r="G17" s="523"/>
    </row>
    <row r="18" spans="1:7">
      <c r="A18" s="450" t="str">
        <f>Datos!A18</f>
        <v>Jdos. Violencia contra la mujer</v>
      </c>
      <c r="B18" s="497">
        <f>IF(ISNUMBER(NºAsuntos!G18/NºAsuntos!E18),NºAsuntos!G18/NºAsuntos!E18," - ")</f>
        <v>1.1891891891891893</v>
      </c>
      <c r="C18" s="498">
        <f>IF(ISNUMBER(NºAsuntos!I18/NºAsuntos!G18),NºAsuntos!I18/NºAsuntos!G18," - ")</f>
        <v>0.73863636363636365</v>
      </c>
      <c r="D18" s="499">
        <f>IF(ISNUMBER('Resol  Asuntos'!D18/NºAsuntos!G18),'Resol  Asuntos'!D18/NºAsuntos!G18," - ")</f>
        <v>0.125</v>
      </c>
      <c r="E18" s="500">
        <f>IF(ISNUMBER((NºAsuntos!C18+NºAsuntos!E18)/NºAsuntos!G18),(NºAsuntos!C18+NºAsuntos!E18)/NºAsuntos!G18," - ")</f>
        <v>1.7386363636363635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0.93152866242038213</v>
      </c>
      <c r="C23" s="1156">
        <f>IF(ISNUMBER(NºAsuntos!I23/NºAsuntos!G23),NºAsuntos!I23/NºAsuntos!G23," - ")</f>
        <v>2.1709401709401708</v>
      </c>
      <c r="D23" s="1159">
        <f>IF(ISNUMBER('Resol  Asuntos'!D23/NºAsuntos!G23),'Resol  Asuntos'!D23/NºAsuntos!G23," - ")</f>
        <v>0.15555555555555556</v>
      </c>
      <c r="E23" s="1158">
        <f>IF(ISNUMBER((NºAsuntos!C23+NºAsuntos!E23)/NºAsuntos!G23),(NºAsuntos!C23+NºAsuntos!E23)/NºAsuntos!G23," - ")</f>
        <v>3.1709401709401708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0.90165224232887486</v>
      </c>
      <c r="C31" s="1099">
        <f>IF(ISNUMBER(NºAsuntos!I31/NºAsuntos!G31),NºAsuntos!I31/NºAsuntos!G31," - ")</f>
        <v>2.6116928446771377</v>
      </c>
      <c r="D31" s="1100">
        <f>IF(ISNUMBER('Resol  Asuntos'!D31/NºAsuntos!G31),'Resol  Asuntos'!D31/NºAsuntos!G31," - ")</f>
        <v>0.23036649214659685</v>
      </c>
      <c r="E31" s="1101">
        <f>IF(ISNUMBER((NºAsuntos!C31+NºAsuntos!E31)/NºAsuntos!G31),(NºAsuntos!C31+NºAsuntos!E31)/NºAsuntos!G31," - ")</f>
        <v>3.6116928446771377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koi5cTkmJOiSRhCMXrXdNtRAwtWh0g87UgrK1pg0V1zxfx6DMLhtkTxNqZ4LbRb/eWWvpInCEQv6VAH/wMwOQ==" saltValue="Ock8eKhYoup0QBNQ62th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RIBEIRA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32</v>
      </c>
      <c r="AB10" s="374">
        <f>IF(ISNUMBER(Datos!R10),Datos!R10," - ")</f>
        <v>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24</v>
      </c>
      <c r="AN10" s="267">
        <f>IF(ISNUMBER('Resol  Asuntos'!D10/NºAsuntos!G10),'Resol  Asuntos'!D10/NºAsuntos!G10," - ")</f>
        <v>0.5</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162</v>
      </c>
      <c r="Y12" s="374">
        <f t="shared" si="0"/>
        <v>162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171</v>
      </c>
      <c r="AJ12" s="243" t="str">
        <f>IF(ISNUMBER(Datos!BW12),Datos!BW12," - ")</f>
        <v xml:space="preserve"> - </v>
      </c>
      <c r="AK12" s="242" t="str">
        <f>IF(ISNUMBER(Datos!BX12),Datos!BX12," - ")</f>
        <v xml:space="preserve"> - </v>
      </c>
      <c r="AL12" s="266">
        <f>IF(ISNUMBER(NºAsuntos!G12/NºAsuntos!E12),NºAsuntos!G12/NºAsuntos!E12," - ")</f>
        <v>0.86895475819032764</v>
      </c>
      <c r="AM12" s="284">
        <f>IF(ISNUMBER(((NºAsuntos!I12/NºAsuntos!G12)*11)/factor_trimestre),((NºAsuntos!I12/NºAsuntos!G12)*11)/factor_trimestre," - ")</f>
        <v>9.1077199281867145</v>
      </c>
      <c r="AN12" s="267">
        <f>IF(ISNUMBER('Resol  Asuntos'!D12/NºAsuntos!G12),'Resol  Asuntos'!D12/NºAsuntos!G12," - ")</f>
        <v>0.30700179533213645</v>
      </c>
      <c r="AO12" s="268">
        <f>IF(ISNUMBER((NºAsuntos!C12+NºAsuntos!E12)/NºAsuntos!G12),(NºAsuntos!C12+NºAsuntos!E12)/NºAsuntos!G12," - ")</f>
        <v>4.0359066427289045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34</v>
      </c>
      <c r="G14" s="1163">
        <f t="shared" si="5"/>
        <v>34</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164</v>
      </c>
      <c r="Y14" s="1165">
        <f t="shared" si="6"/>
        <v>168</v>
      </c>
      <c r="Z14" s="1165">
        <f t="shared" si="6"/>
        <v>0</v>
      </c>
      <c r="AA14" s="1165">
        <f t="shared" si="6"/>
        <v>32</v>
      </c>
      <c r="AB14" s="1165">
        <f t="shared" si="6"/>
        <v>1656</v>
      </c>
      <c r="AC14" s="1165">
        <f t="shared" si="6"/>
        <v>34</v>
      </c>
      <c r="AD14" s="1165">
        <f t="shared" si="6"/>
        <v>0</v>
      </c>
      <c r="AE14" s="1169">
        <f t="shared" si="6"/>
        <v>0</v>
      </c>
      <c r="AF14" s="1162">
        <f t="shared" si="6"/>
        <v>0</v>
      </c>
      <c r="AG14" s="1170">
        <f t="shared" si="6"/>
        <v>0</v>
      </c>
      <c r="AH14" s="1167">
        <f t="shared" si="6"/>
        <v>0</v>
      </c>
      <c r="AI14" s="1162">
        <f t="shared" si="6"/>
        <v>173</v>
      </c>
      <c r="AJ14" s="1164">
        <f t="shared" si="6"/>
        <v>0</v>
      </c>
      <c r="AK14" s="1167">
        <f>SUBTOTAL(9,AK9:AK13)</f>
        <v>0</v>
      </c>
      <c r="AL14" s="1171">
        <f>IF(ISNUMBER(NºAsuntos!G14/NºAsuntos!E14),NºAsuntos!G14/NºAsuntos!E14," - ")</f>
        <v>0.8724727838258165</v>
      </c>
      <c r="AM14" s="1171">
        <f>IF(ISNUMBER(((NºAsuntos!I14/NºAsuntos!G14)*11)/factor_trimestre),((NºAsuntos!I14/NºAsuntos!G14)*11)/factor_trimestre," - ")</f>
        <v>9.2139037433155071</v>
      </c>
      <c r="AN14" s="1172">
        <f>IF(ISNUMBER('Resol  Asuntos'!D14/NºAsuntos!G14),'Resol  Asuntos'!D14/NºAsuntos!G14," - ")</f>
        <v>0.30837789661319071</v>
      </c>
      <c r="AO14" s="1173">
        <f>IF(ISNUMBER((NºAsuntos!C14+NºAsuntos!E14)/NºAsuntos!G14),(NºAsuntos!C14+NºAsuntos!E14)/NºAsuntos!G14," - ")</f>
        <v>4.071301247771836</v>
      </c>
      <c r="AP14" s="1174" t="str">
        <f t="shared" si="2"/>
        <v xml:space="preserve"> - </v>
      </c>
      <c r="AQ14" s="1174">
        <f>IF(ISNUMBER((H14-W14+K14)/(F14)),(H14-W14+K14)/(F14)," - ")</f>
        <v>-0.11764705882352941</v>
      </c>
      <c r="AR14" s="1175">
        <f>IF(ISNUMBER((Datos!P14-Datos!Q14)/(Datos!R14-Datos!P14+Datos!Q14)),(Datos!P14-Datos!Q14)/(Datos!R14-Datos!P14+Datos!Q14)," - ")</f>
        <v>-1.8083182640144665E-3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1148</v>
      </c>
      <c r="G17" s="373">
        <f>IF(ISNUMBER(IF(D_I="SI",Datos!I17,Datos!I17+Datos!AC17)),IF(D_I="SI",Datos!I17,Datos!I17+Datos!AC17)," - ")</f>
        <v>1148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497</v>
      </c>
      <c r="X17" s="240">
        <f>IF(ISNUMBER(Datos!Q17),Datos!Q17," - ")</f>
        <v>12</v>
      </c>
      <c r="Y17" s="374">
        <f t="shared" ref="Y17:Y22" si="9">SUM(W17:X17)</f>
        <v>509</v>
      </c>
      <c r="Z17" s="375" t="str">
        <f>IF(ISNUMBER(Datos!CC17),Datos!CC17," - ")</f>
        <v xml:space="preserve"> - </v>
      </c>
      <c r="AA17" s="372">
        <f>IF(ISNUMBER(IF(D_I="SI",Datos!L17,Datos!L17+Datos!AF17)),IF(D_I="SI",Datos!L17,Datos!L17+Datos!AF17)," - ")</f>
        <v>1205</v>
      </c>
      <c r="AB17" s="374">
        <f>IF(ISNUMBER(Datos!R17),Datos!R17," - ")</f>
        <v>131</v>
      </c>
      <c r="AC17" s="374">
        <f t="shared" si="8"/>
        <v>1336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0.8971119133574007</v>
      </c>
      <c r="AM17" s="284">
        <f>IF(ISNUMBER(((NºAsuntos!I17/NºAsuntos!G17)*11)/factor_trimestre),((NºAsuntos!I17/NºAsuntos!G17)*11)/factor_trimestre," - ")</f>
        <v>7.2736418511066399</v>
      </c>
      <c r="AN17" s="267">
        <f>IF(ISNUMBER('Resol  Asuntos'!D17/NºAsuntos!G17),'Resol  Asuntos'!D17/NºAsuntos!G17," - ")</f>
        <v>0.16096579476861167</v>
      </c>
      <c r="AO17" s="268">
        <f>IF(ISNUMBER((NºAsuntos!C17+NºAsuntos!E17)/NºAsuntos!G17),(NºAsuntos!C17+NºAsuntos!E17)/NºAsuntos!G17," - ")</f>
        <v>3.4245472837022133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88</v>
      </c>
      <c r="X18" s="240">
        <f>IF(ISNUMBER(Datos!Q18),Datos!Q18," - ")</f>
        <v>1</v>
      </c>
      <c r="Y18" s="374">
        <f t="shared" si="9"/>
        <v>89</v>
      </c>
      <c r="Z18" s="375" t="str">
        <f>IF(ISNUMBER(Datos!CC18),Datos!CC18," - ")</f>
        <v xml:space="preserve"> - </v>
      </c>
      <c r="AA18" s="372">
        <f>IF(ISNUMBER(Datos!L18),Datos!L18,"-")</f>
        <v>65</v>
      </c>
      <c r="AB18" s="374">
        <f>IF(ISNUMBER(Datos!R18),Datos!R18," - ")</f>
        <v>1</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1.1891891891891893</v>
      </c>
      <c r="AM18" s="284">
        <f>IF(ISNUMBER(((NºAsuntos!I18/NºAsuntos!G18)*11)/factor_trimestre),((NºAsuntos!I18/NºAsuntos!G18)*11)/factor_trimestre," - ")</f>
        <v>2.2159090909090908</v>
      </c>
      <c r="AN18" s="267">
        <f>IF(ISNUMBER('Resol  Asuntos'!D18/NºAsuntos!G18),'Resol  Asuntos'!D18/NºAsuntos!G18," - ")</f>
        <v>0.125</v>
      </c>
      <c r="AO18" s="268">
        <f>IF(ISNUMBER((NºAsuntos!C18+NºAsuntos!E18)/NºAsuntos!G18),(NºAsuntos!C18+NºAsuntos!E18)/NºAsuntos!G18," - ")</f>
        <v>1.7386363636363635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1148</v>
      </c>
      <c r="G23" s="1163">
        <f>SUBTOTAL(9,G16:G22)</f>
        <v>1227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585</v>
      </c>
      <c r="X23" s="1164">
        <f t="shared" si="14"/>
        <v>13</v>
      </c>
      <c r="Y23" s="1165">
        <f t="shared" si="14"/>
        <v>598</v>
      </c>
      <c r="Z23" s="1165">
        <f t="shared" si="14"/>
        <v>0</v>
      </c>
      <c r="AA23" s="1165">
        <f t="shared" si="14"/>
        <v>1270</v>
      </c>
      <c r="AB23" s="1165">
        <f t="shared" si="14"/>
        <v>132</v>
      </c>
      <c r="AC23" s="1165">
        <f t="shared" si="14"/>
        <v>1402</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0.93152866242038213</v>
      </c>
      <c r="AM23" s="1171">
        <f>IF(ISNUMBER(((NºAsuntos!I23/NºAsuntos!G23)*11)/factor_trimestre),((NºAsuntos!I23/NºAsuntos!G23)*11)/factor_trimestre," - ")</f>
        <v>6.5128205128205119</v>
      </c>
      <c r="AN23" s="1172">
        <f>IF(ISNUMBER('Resol  Asuntos'!D23/NºAsuntos!G23),'Resol  Asuntos'!D23/NºAsuntos!G23," - ")</f>
        <v>0.15555555555555556</v>
      </c>
      <c r="AO23" s="1173">
        <f>IF(ISNUMBER((NºAsuntos!C23+NºAsuntos!E23)/NºAsuntos!G23),(NºAsuntos!C23+NºAsuntos!E23)/NºAsuntos!G23," - ")</f>
        <v>3.1709401709401708</v>
      </c>
      <c r="AP23" s="1174" t="str">
        <f t="shared" si="2"/>
        <v xml:space="preserve"> - </v>
      </c>
      <c r="AQ23" s="1174">
        <f>IF(ISNUMBER((H23-W23+K23)/(F23)),(H23-W23+K23)/(F23)," - ")</f>
        <v>-0.50958188153310102</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1182</v>
      </c>
      <c r="G31" s="1118">
        <f t="shared" si="20"/>
        <v>1261</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589</v>
      </c>
      <c r="X31" s="1118">
        <f t="shared" si="21"/>
        <v>177</v>
      </c>
      <c r="Y31" s="1125">
        <f t="shared" si="21"/>
        <v>766</v>
      </c>
      <c r="Z31" s="1125">
        <f t="shared" si="21"/>
        <v>0</v>
      </c>
      <c r="AA31" s="1125">
        <f t="shared" si="21"/>
        <v>1302</v>
      </c>
      <c r="AB31" s="1125">
        <f t="shared" si="21"/>
        <v>1788</v>
      </c>
      <c r="AC31" s="1125">
        <f t="shared" si="21"/>
        <v>1436</v>
      </c>
      <c r="AD31" s="1125">
        <f t="shared" si="21"/>
        <v>0</v>
      </c>
      <c r="AE31" s="1127">
        <f t="shared" si="21"/>
        <v>0</v>
      </c>
      <c r="AF31" s="1128">
        <f t="shared" si="21"/>
        <v>0</v>
      </c>
      <c r="AG31" s="1129">
        <f t="shared" si="21"/>
        <v>0</v>
      </c>
      <c r="AH31" s="1127">
        <f t="shared" si="21"/>
        <v>0</v>
      </c>
      <c r="AI31" s="1117">
        <f t="shared" si="21"/>
        <v>264</v>
      </c>
      <c r="AJ31" s="1117">
        <f t="shared" si="21"/>
        <v>0</v>
      </c>
      <c r="AK31" s="1127">
        <f t="shared" si="21"/>
        <v>0</v>
      </c>
      <c r="AL31" s="1183">
        <f>IF(ISNUMBER(NºAsuntos!G31/NºAsuntos!E31),NºAsuntos!G31/NºAsuntos!E31," - ")</f>
        <v>0.90165224232887486</v>
      </c>
      <c r="AM31" s="1184">
        <f>IF(ISNUMBER(((NºAsuntos!I31/NºAsuntos!G31)*11)/factor_trimestre),((NºAsuntos!I31/NºAsuntos!G31)*11)/factor_trimestre," - ")</f>
        <v>7.835078534031414</v>
      </c>
      <c r="AN31" s="1184">
        <f>IF(ISNUMBER('Resol  Asuntos'!D31/NºAsuntos!G31),'Resol  Asuntos'!D31/NºAsuntos!G31," - ")</f>
        <v>0.23036649214659685</v>
      </c>
      <c r="AO31" s="1185">
        <f>IF(ISNUMBER((NºAsuntos!C31+NºAsuntos!E31)/NºAsuntos!G31),(NºAsuntos!C31+NºAsuntos!E31)/NºAsuntos!G31," - ")</f>
        <v>3.6116928446771377</v>
      </c>
      <c r="AP31" s="1186" t="str">
        <f t="shared" si="2"/>
        <v xml:space="preserve"> - </v>
      </c>
      <c r="AQ31" s="1187">
        <f>IF(OR(ISNUMBER(FIND("01",Criterios!A8,1)),ISNUMBER(FIND("02",Criterios!A8,1)),ISNUMBER(FIND("03",Criterios!A8,1)),ISNUMBER(FIND("04",Criterios!A8,1))),(I31-W31+K31)/(F31-K31),(H31-W31+K31)/(F31-K31))</f>
        <v>-0.49830795262267341</v>
      </c>
      <c r="AR31" s="1188">
        <f>IF(ISNUMBER((Datos!P31-Datos!Q31)/(Datos!R31-Datos!P31+Datos!Q31)),(Datos!P31-Datos!Q31)/(Datos!R31-Datos!P31+Datos!Q31)," - ")</f>
        <v>-5.008347245409015E-3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584.24378473373599</v>
      </c>
      <c r="G33" s="277">
        <f>IF(ISNUMBER(STDEV(G8:G30)),STDEV(G8:G30),"-")</f>
        <v>566.17803863146389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257.80141859301597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74.764391830030192</v>
      </c>
      <c r="AJ33" s="276">
        <f t="shared" si="25"/>
        <v>0</v>
      </c>
      <c r="AK33" s="278">
        <f t="shared" si="25"/>
        <v>0</v>
      </c>
      <c r="AL33" s="273">
        <f t="shared" si="25"/>
        <v>0.44461764884310739</v>
      </c>
      <c r="AM33" s="274">
        <f t="shared" si="25"/>
        <v>7.4448836992224416</v>
      </c>
      <c r="AN33" s="274">
        <f t="shared" si="25"/>
        <v>0.14218959514426233</v>
      </c>
      <c r="AO33" s="275">
        <f t="shared" si="25"/>
        <v>2.4816278997408134</v>
      </c>
      <c r="AP33" s="317" t="str">
        <f t="shared" si="25"/>
        <v>-</v>
      </c>
      <c r="AQ33" s="318">
        <f t="shared" si="25"/>
        <v>0.27713977092108527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3i1c8VVj9Mlhsx31NJiQ2JbqNNmr3BwbIRyHyxSZFdq6HEnD2FHRz3zcD7TE4ucW6eQMpVoK+euXlPioDB11Q==" saltValue="UNdOeUeBDMKn8ECOSz8j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RIBEIRA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-2.8571428571428571E-2</v>
      </c>
      <c r="E10" s="393">
        <f>IF(ISNUMBER((Datos!J10-Datos!T10)/Datos!T10),(Datos!J10-Datos!T10)/Datos!T10," - ")</f>
        <v>1</v>
      </c>
      <c r="F10" s="393" t="str">
        <f>IF(ISNUMBER((Datos!K10-Datos!U10)/Datos!U10),(Datos!K10-Datos!U10)/Datos!U10," - ")</f>
        <v xml:space="preserve"> - </v>
      </c>
      <c r="G10" s="394">
        <f>IF(ISNUMBER((Datos!L10-Datos!V10)/Datos!V10),(Datos!L10-Datos!V10)/Datos!V10," - ")</f>
        <v>-0.1111111111111111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0.16326530612244897</v>
      </c>
      <c r="I12" s="395">
        <f>IF(ISNUMBER((Tasas!C12-Datos!BE12)/Datos!BE12),(Tasas!C12-Datos!BE12)/Datos!BE12," - ")</f>
        <v>-0.18577216478535116</v>
      </c>
      <c r="J12" s="394">
        <f>IF(ISNUMBER((Tasas!D12-Datos!BF12)/Datos!BF12),(Tasas!D12-Datos!BF12)/Datos!BF12," - ")</f>
        <v>0.17218867308633912</v>
      </c>
      <c r="K12" s="396">
        <f>IF(ISNUMBER((Tasas!E12-Datos!BG12)/Datos!BG12),(Tasas!E12-Datos!BG12)/Datos!BG12," - ")</f>
        <v>-0.14648500002711989</v>
      </c>
      <c r="M12" t="e">
        <f>IF(Monitorios="SI",Datos!CE12,0)</f>
        <v>#REF!</v>
      </c>
      <c r="N12" t="e">
        <f>IF(Monitorios="SI",Datos!CF12,0)</f>
        <v>#REF!</v>
      </c>
      <c r="O12" t="e">
        <f>IF(Monitorios="SI",Datos!CG12,0)</f>
        <v>#REF!</v>
      </c>
      <c r="P12" t="e">
        <f>IF(Monitorios="SI",Datos!CH12,0)</f>
        <v>#REF!</v>
      </c>
      <c r="Q12">
        <f>IF(J_V="SI",0,Datos!AG12)</f>
        <v>31</v>
      </c>
      <c r="R12">
        <f>IF(J_V="SI",0,Datos!AH12)</f>
        <v>124</v>
      </c>
      <c r="S12">
        <f>IF(J_V="SI",0,Datos!AI12)</f>
        <v>37</v>
      </c>
      <c r="T12">
        <f>IF(J_V="SI",0,Datos!AJ12)</f>
        <v>118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0.17687074829931973</v>
      </c>
      <c r="I14" s="402">
        <f>IF(ISNUMBER((Tasas!C14-Datos!BE14)/Datos!BE14),(Tasas!C14-Datos!BE14)/Datos!BE14," - ")</f>
        <v>-0.19478993504109174</v>
      </c>
      <c r="J14" s="400">
        <f>IF(ISNUMBER((Tasas!D14-Datos!BF14)/Datos!BF14),(Tasas!D14-Datos!BF14)/Datos!BF14," - ")</f>
        <v>0.17744287797763716</v>
      </c>
      <c r="K14" s="403">
        <f>IF(ISNUMBER((Tasas!E14-Datos!BG14)/Datos!BG14),(Tasas!E14-Datos!BG14)/Datos!BG14," - ")</f>
        <v>-0.15432911767350582</v>
      </c>
      <c r="M14" t="e">
        <f>IF(Monitorios="SI",Datos!CE14,0)</f>
        <v>#REF!</v>
      </c>
      <c r="N14" t="e">
        <f>IF(Monitorios="SI",Datos!CF14,0)</f>
        <v>#REF!</v>
      </c>
      <c r="O14" t="e">
        <f>IF(Monitorios="SI",Datos!CG14,0)</f>
        <v>#REF!</v>
      </c>
      <c r="P14" t="e">
        <f>IF(Monitorios="SI",Datos!CH14,0)</f>
        <v>#REF!</v>
      </c>
      <c r="Q14">
        <f>IF(J_V="SI",0,Datos!AG14)</f>
        <v>31</v>
      </c>
      <c r="R14">
        <f>IF(J_V="SI",0,Datos!AH14)</f>
        <v>124</v>
      </c>
      <c r="S14">
        <f>IF(J_V="SI",0,Datos!AI14)</f>
        <v>37</v>
      </c>
      <c r="T14">
        <f>IF(J_V="SI",0,Datos!AJ14)</f>
        <v>118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2.6833631484794274E-2</v>
      </c>
      <c r="E17" s="393">
        <f>IF(ISNUMBER(
   IF(D_I="SI",(Datos!J17-Datos!T17)/Datos!T17,(Datos!J17+Datos!AD17-(Datos!T17+Datos!AL17))/(Datos!T17+Datos!AL17))
     ),IF(D_I="SI",(Datos!J17-Datos!T17)/Datos!T17,(Datos!J17+Datos!AD17-(Datos!T17+Datos!AL17))/(Datos!T17+Datos!AL17))," - ")</f>
        <v>6.7437379576107903E-2</v>
      </c>
      <c r="F17" s="393">
        <f>IF(ISNUMBER(
   IF(D_I="SI",(Datos!K17-Datos!U17)/Datos!U17,(Datos!K17+Datos!AE17-(Datos!U17+Datos!AM17))/(Datos!U17+Datos!AM17))
     ),IF(D_I="SI",(Datos!K17-Datos!U17)/Datos!U17,(Datos!K17+Datos!AE17-(Datos!U17+Datos!AM17))/(Datos!U17+Datos!AM17))," - ")</f>
        <v>-0.11565836298932385</v>
      </c>
      <c r="G17" s="394">
        <f>IF(ISNUMBER(
   IF(D_I="SI",(Datos!L17-Datos!V17)/Datos!V17,(Datos!L17+Datos!AF17-(Datos!V17+Datos!AN17))/(Datos!V17+Datos!AN17))
     ),IF(D_I="SI",(Datos!L17-Datos!V17)/Datos!V17,(Datos!L17+Datos!AF17-(Datos!V17+Datos!AN17))/(Datos!V17+Datos!AN17))," - ")</f>
        <v>0.12093023255813953</v>
      </c>
      <c r="H17" s="244">
        <f>IF(ISNUMBER((Datos!M17-Datos!W17)/Datos!W17),(Datos!M17-Datos!W17)/Datos!W17," - ")</f>
        <v>-0.19191919191919191</v>
      </c>
      <c r="I17" s="395">
        <f>IF(ISNUMBER((Tasas!C17-Datos!BE17)/Datos!BE17),(Tasas!C17-Datos!BE17)/Datos!BE17," - ")</f>
        <v>0.2675307659912966</v>
      </c>
      <c r="J17" s="394">
        <f>IF(ISNUMBER((Tasas!D17-Datos!BF17)/Datos!BF17),(Tasas!D17-Datos!BF17)/Datos!BF17," - ")</f>
        <v>-8.6234579192325606E-2</v>
      </c>
      <c r="K17" s="396">
        <f>IF(ISNUMBER((Tasas!E17-Datos!BG17)/Datos!BG17),(Tasas!E17-Datos!BG17)/Datos!BG17," - ")</f>
        <v>0.17568452867479772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-0.35772357723577236</v>
      </c>
      <c r="E18" s="393">
        <f>IF(ISNUMBER(
   IF(D_I="SI",(Datos!J18-Datos!T18)/Datos!T18,(Datos!J18+Datos!AD18-(Datos!T18+Datos!AL18))/(Datos!T18+Datos!AL18))
     ),IF(D_I="SI",(Datos!J18-Datos!T18)/Datos!T18,(Datos!J18+Datos!AD18-(Datos!T18+Datos!AL18))/(Datos!T18+Datos!AL18))," - ")</f>
        <v>1.3698630136986301E-2</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-0.46721311475409838</v>
      </c>
      <c r="H18" s="244">
        <f>IF(ISNUMBER((Datos!M18-Datos!W18)/Datos!W18),(Datos!M18-Datos!W18)/Datos!W18," - ")</f>
        <v>0.375</v>
      </c>
      <c r="I18" s="395">
        <f>IF(ISNUMBER((Tasas!C18-Datos!BE18)/Datos!BE18),(Tasas!C18-Datos!BE18)/Datos!BE18," - ")</f>
        <v>-0.55197466467958267</v>
      </c>
      <c r="J18" s="394">
        <f>IF(ISNUMBER((Tasas!D18-Datos!BF18)/Datos!BF18),(Tasas!D18-Datos!BF18)/Datos!BF18," - ")</f>
        <v>0.15624999999999994</v>
      </c>
      <c r="K18" s="396">
        <f>IF(ISNUMBER((Tasas!E18-Datos!BG18)/Datos!BG18),(Tasas!E18-Datos!BG18)/Datos!BG18," - ")</f>
        <v>-0.34357606679035257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-1.1281224818694601E-2</v>
      </c>
      <c r="E23" s="399">
        <f>IF(ISNUMBER(
   IF(D_I="SI",(Datos!J23-Datos!T23)/Datos!T23,(Datos!J23+Datos!AD23-(Datos!T23+Datos!AL23))/(Datos!T23+Datos!AL23))
     ),IF(D_I="SI",(Datos!J23-Datos!T23)/Datos!T23,(Datos!J23+Datos!AD23-(Datos!T23+Datos!AL23))/(Datos!T23+Datos!AL23))," - ")</f>
        <v>6.0810810810810814E-2</v>
      </c>
      <c r="F23" s="399">
        <f>IF(ISNUMBER(
   IF(D_I="SI",(Datos!K23-Datos!U23)/Datos!U23,(Datos!K23+Datos!AE23-(Datos!U23+Datos!AM23))/(Datos!U23+Datos!AM23))
     ),IF(D_I="SI",(Datos!K23-Datos!U23)/Datos!U23,(Datos!K23+Datos!AE23-(Datos!U23+Datos!AM23))/(Datos!U23+Datos!AM23))," - ")</f>
        <v>-8.0188679245283015E-2</v>
      </c>
      <c r="G23" s="400">
        <f>IF(ISNUMBER(
   IF(D_I="SI",(Datos!L23-Datos!V23)/Datos!V23,(Datos!L23+Datos!AF23-(Datos!V23+Datos!AN23))/(Datos!V23+Datos!AN23))
     ),IF(D_I="SI",(Datos!L23-Datos!V23)/Datos!V23,(Datos!L23+Datos!AF23-(Datos!V23+Datos!AN23))/(Datos!V23+Datos!AN23))," - ")</f>
        <v>6.0985797827903088E-2</v>
      </c>
      <c r="H23" s="401">
        <f>IF(ISNUMBER((Datos!M23-Datos!W23)/Datos!W23),(Datos!M23-Datos!W23)/Datos!W23," - ")</f>
        <v>-0.14953271028037382</v>
      </c>
      <c r="I23" s="402">
        <f>IF(ISNUMBER((Tasas!C23-Datos!BE23)/Datos!BE23),(Tasas!C23-Datos!BE23)/Datos!BE23," - ")</f>
        <v>0.15348199558725867</v>
      </c>
      <c r="J23" s="400">
        <f>IF(ISNUMBER((Tasas!D23-Datos!BF23)/Datos!BF23),(Tasas!D23-Datos!BF23)/Datos!BF23," - ")</f>
        <v>-7.5389408099688401E-2</v>
      </c>
      <c r="K23" s="403">
        <f>IF(ISNUMBER((Tasas!E23-Datos!BG23)/Datos!BG23),(Tasas!E23-Datos!BG23)/Datos!BG23," - ")</f>
        <v>0.10022801348496917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9.4238840137352162E-2</v>
      </c>
      <c r="E31" s="409">
        <f>IF(ISNUMBER(
   IF(J_V="SI",(Datos!J31-Datos!T31)/Datos!T31,(Datos!J31+Datos!Z31-(Datos!T31+Datos!AH31))/(Datos!T31+Datos!AH31))
     ),IF(J_V="SI",(Datos!J31-Datos!T31)/Datos!T31,(Datos!J31+Datos!Z31-(Datos!T31+Datos!AH31))/(Datos!T31+Datos!AH31))," - ")</f>
        <v>2.9983792544570502E-2</v>
      </c>
      <c r="F31" s="409">
        <f>IF(ISNUMBER(
   IF(J_V="SI",(Datos!K31-Datos!U31)/Datos!U31,(Datos!K31+Datos!AA31-(Datos!U31+Datos!AI31))/(Datos!U31+Datos!AI31))
     ),IF(J_V="SI",(Datos!K31-Datos!U31)/Datos!U31,(Datos!K31+Datos!AA31-(Datos!U31+Datos!AI31))/(Datos!U31+Datos!AI31))," - ")</f>
        <v>8.5227272727272721E-2</v>
      </c>
      <c r="G31" s="410">
        <f>IF(ISNUMBER(
   IF(J_V="SI",(Datos!L31-Datos!V31)/Datos!V31,(Datos!L31+Datos!AB31-(Datos!V31+Datos!AJ31))/(Datos!V31+Datos!AJ31))
     ),IF(J_V="SI",(Datos!L31-Datos!V31)/Datos!V31,(Datos!L31+Datos!AB31-(Datos!V31+Datos!AJ31))/(Datos!V31+Datos!AJ31))," - ")</f>
        <v>6.9310468024294386E-2</v>
      </c>
      <c r="H31" s="411">
        <f>IF(ISNUMBER((Datos!M31-Datos!W31)/Datos!W31),(Datos!M31-Datos!W31)/Datos!W31," - ")</f>
        <v>3.937007874015748E-2</v>
      </c>
      <c r="I31" s="408">
        <f>IF(ISNUMBER((Tasas!C31-Datos!BE31)/Datos!BE31),(Tasas!C31-Datos!BE31)/Datos!BE31," - ")</f>
        <v>-1.4666793862430307E-2</v>
      </c>
      <c r="J31" s="409">
        <f>IF(ISNUMBER((Tasas!D31-Datos!BF31)/Datos!BF31),(Tasas!D31-Datos!BF31)/Datos!BF31," - ")</f>
        <v>0.12104615533090443</v>
      </c>
      <c r="K31" s="410">
        <f>IF(ISNUMBER((Tasas!E31-Datos!BG31)/Datos!BG31),(Tasas!E31-Datos!BG31)/Datos!BG31," - ")</f>
        <v>-1.0649119590387141E-2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0.1782014546784684</v>
      </c>
      <c r="E33" s="303">
        <f t="shared" si="1"/>
        <v>0.47694261433881335</v>
      </c>
      <c r="F33" s="303">
        <f t="shared" si="1"/>
        <v>0.16671060980855085</v>
      </c>
      <c r="G33" s="304">
        <f t="shared" si="1"/>
        <v>0.26438122596803354</v>
      </c>
      <c r="H33" s="310">
        <f t="shared" si="1"/>
        <v>0.23970234684579267</v>
      </c>
      <c r="I33" s="302">
        <f t="shared" si="1"/>
        <v>0.32400945937489034</v>
      </c>
      <c r="J33" s="303">
        <f t="shared" si="1"/>
        <v>0.13689986125219256</v>
      </c>
      <c r="K33" s="304">
        <f t="shared" si="1"/>
        <v>0.21040163924574845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3PTXZq11frwbt/5TP9y0YRJQm/LJftByMXoLKnyE2AKViwrRAuliO6q4Vehlca5rzyIm2nqRMWusR/dQdCkcw==" saltValue="XZWXxiK+RhhGE+eRE7vN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